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0" yWindow="60" windowWidth="21315" windowHeight="4305"/>
  </bookViews>
  <sheets>
    <sheet name="EFOY Pro + Solar Calculator" sheetId="1" r:id="rId1"/>
    <sheet name="EFOY Pro + Solar Calculator RU" sheetId="3" state="hidden" r:id="rId2"/>
    <sheet name="Tabelle1" sheetId="2" state="hidden" r:id="rId3"/>
    <sheet name="Tabelle2" sheetId="4" state="hidden" r:id="rId4"/>
  </sheets>
  <definedNames>
    <definedName name="_xlnm._FilterDatabase" localSheetId="0" hidden="1">'EFOY Pro + Solar Calculator'!$H$72:$H$72</definedName>
    <definedName name="_xlnm._FilterDatabase" localSheetId="1" hidden="1">'EFOY Pro + Solar Calculator RU'!$H$71:$H$71</definedName>
    <definedName name="_xlnm.Print_Area" localSheetId="0">'EFOY Pro + Solar Calculator'!$A$1:$H$73</definedName>
    <definedName name="_xlnm.Print_Area" localSheetId="1">'EFOY Pro + Solar Calculator RU'!$A$1:$H$72</definedName>
    <definedName name="Z_3936283E_F619_4C76_81B5_94C71CE639B2_.wvu.Cols" localSheetId="0" hidden="1">'EFOY Pro + Solar Calculator'!$C:$C,'EFOY Pro + Solar Calculator'!$I:$S</definedName>
    <definedName name="Z_3936283E_F619_4C76_81B5_94C71CE639B2_.wvu.Cols" localSheetId="1" hidden="1">'EFOY Pro + Solar Calculator RU'!$C:$C,'EFOY Pro + Solar Calculator RU'!$I:$S</definedName>
    <definedName name="Z_3936283E_F619_4C76_81B5_94C71CE639B2_.wvu.FilterData" localSheetId="0" hidden="1">'EFOY Pro + Solar Calculator'!$H$72</definedName>
    <definedName name="Z_3936283E_F619_4C76_81B5_94C71CE639B2_.wvu.FilterData" localSheetId="1" hidden="1">'EFOY Pro + Solar Calculator RU'!$H$71</definedName>
    <definedName name="Z_3936283E_F619_4C76_81B5_94C71CE639B2_.wvu.PrintArea" localSheetId="0" hidden="1">'EFOY Pro + Solar Calculator'!$A$1:$H$73</definedName>
    <definedName name="Z_3936283E_F619_4C76_81B5_94C71CE639B2_.wvu.PrintArea" localSheetId="1" hidden="1">'EFOY Pro + Solar Calculator RU'!$A$1:$H$72</definedName>
    <definedName name="Z_3936283E_F619_4C76_81B5_94C71CE639B2_.wvu.Rows" localSheetId="0" hidden="1">'EFOY Pro + Solar Calculator'!$19:$32,'EFOY Pro + Solar Calculator'!#REF!,'EFOY Pro + Solar Calculator'!$74:$199</definedName>
    <definedName name="Z_3936283E_F619_4C76_81B5_94C71CE639B2_.wvu.Rows" localSheetId="1" hidden="1">'EFOY Pro + Solar Calculator RU'!$19:$32,'EFOY Pro + Solar Calculator RU'!#REF!,'EFOY Pro + Solar Calculator RU'!$74:$166</definedName>
    <definedName name="Z_DFB92200_E2B8_4842_BABB_C8A43D4346B5_.wvu.Cols" localSheetId="0" hidden="1">'EFOY Pro + Solar Calculator'!$C:$C,'EFOY Pro + Solar Calculator'!$I:$K</definedName>
    <definedName name="Z_DFB92200_E2B8_4842_BABB_C8A43D4346B5_.wvu.Cols" localSheetId="1" hidden="1">'EFOY Pro + Solar Calculator RU'!$C:$C,'EFOY Pro + Solar Calculator RU'!$I:$K</definedName>
    <definedName name="Z_DFB92200_E2B8_4842_BABB_C8A43D4346B5_.wvu.FilterData" localSheetId="0" hidden="1">'EFOY Pro + Solar Calculator'!$H$72</definedName>
    <definedName name="Z_DFB92200_E2B8_4842_BABB_C8A43D4346B5_.wvu.FilterData" localSheetId="1" hidden="1">'EFOY Pro + Solar Calculator RU'!$H$71</definedName>
    <definedName name="Z_DFB92200_E2B8_4842_BABB_C8A43D4346B5_.wvu.PrintArea" localSheetId="0" hidden="1">'EFOY Pro + Solar Calculator'!$A$1:$H$73</definedName>
    <definedName name="Z_DFB92200_E2B8_4842_BABB_C8A43D4346B5_.wvu.PrintArea" localSheetId="1" hidden="1">'EFOY Pro + Solar Calculator RU'!$A$1:$H$72</definedName>
    <definedName name="Z_DFB92200_E2B8_4842_BABB_C8A43D4346B5_.wvu.Rows" localSheetId="0" hidden="1">'EFOY Pro + Solar Calculator'!$19:$32,'EFOY Pro + Solar Calculator'!#REF!,'EFOY Pro + Solar Calculator'!$74:$199</definedName>
    <definedName name="Z_DFB92200_E2B8_4842_BABB_C8A43D4346B5_.wvu.Rows" localSheetId="1" hidden="1">'EFOY Pro + Solar Calculator RU'!$19:$32,'EFOY Pro + Solar Calculator RU'!#REF!,'EFOY Pro + Solar Calculator RU'!$74:$166</definedName>
  </definedNames>
  <calcPr calcId="125725"/>
  <customWorkbookViews>
    <customWorkbookView name="laistners - Persönliche Ansicht" guid="{3936283E-F619-4C76-81B5-94C71CE639B2}" mergeInterval="0" personalView="1" maximized="1" xWindow="1" yWindow="1" windowWidth="1440" windowHeight="632" activeSheetId="1"/>
    <customWorkbookView name="GauderR - Persönliche Ansicht" guid="{DFB92200-E2B8-4842-BABB-C8A43D4346B5}" mergeInterval="0" personalView="1" maximized="1" xWindow="1" yWindow="1" windowWidth="1238" windowHeight="559" activeSheetId="1"/>
  </customWorkbookViews>
</workbook>
</file>

<file path=xl/calcChain.xml><?xml version="1.0" encoding="utf-8"?>
<calcChain xmlns="http://schemas.openxmlformats.org/spreadsheetml/2006/main">
  <c r="J17" i="1"/>
  <c r="AL82" i="3"/>
  <c r="AK82"/>
  <c r="AJ82"/>
  <c r="AI82"/>
  <c r="AH82"/>
  <c r="AG82"/>
  <c r="AF82"/>
  <c r="AE82"/>
  <c r="AD82"/>
  <c r="AZ73"/>
  <c r="AY73"/>
  <c r="AX73"/>
  <c r="AW73"/>
  <c r="AV73"/>
  <c r="AU73"/>
  <c r="AT73"/>
  <c r="AS73"/>
  <c r="AR73"/>
  <c r="AQ73"/>
  <c r="AP73"/>
  <c r="AO73"/>
  <c r="AN73"/>
  <c r="AM73"/>
  <c r="AL73"/>
  <c r="AK73"/>
  <c r="AJ73"/>
  <c r="AI73"/>
  <c r="AH73"/>
  <c r="AG73"/>
  <c r="AF73"/>
  <c r="AE73"/>
  <c r="AD73"/>
  <c r="AC73"/>
  <c r="AB73"/>
  <c r="AA73"/>
  <c r="Z73"/>
  <c r="Y73"/>
  <c r="X73"/>
  <c r="W73"/>
  <c r="V73"/>
  <c r="U73"/>
  <c r="T73"/>
  <c r="S73"/>
  <c r="R73"/>
  <c r="Q73"/>
  <c r="O73"/>
  <c r="N73"/>
  <c r="M73"/>
  <c r="L73"/>
  <c r="K73"/>
  <c r="J73"/>
  <c r="I73"/>
  <c r="H73"/>
  <c r="G73"/>
  <c r="F73"/>
  <c r="E73"/>
  <c r="P73"/>
  <c r="B73"/>
  <c r="D21" i="1"/>
  <c r="D35" s="1"/>
  <c r="C62" i="3"/>
  <c r="C61"/>
  <c r="C60"/>
  <c r="T41"/>
  <c r="S41"/>
  <c r="R41"/>
  <c r="Q41"/>
  <c r="P41"/>
  <c r="O41"/>
  <c r="N41"/>
  <c r="M41"/>
  <c r="T40"/>
  <c r="S40"/>
  <c r="R40"/>
  <c r="Q40"/>
  <c r="P40"/>
  <c r="O40"/>
  <c r="N40"/>
  <c r="M40"/>
  <c r="T39"/>
  <c r="S39"/>
  <c r="T38"/>
  <c r="S38"/>
  <c r="T37"/>
  <c r="S37"/>
  <c r="R32"/>
  <c r="L32" s="1"/>
  <c r="R31"/>
  <c r="L31" s="1"/>
  <c r="R30"/>
  <c r="L30" s="1"/>
  <c r="R29"/>
  <c r="L29" s="1"/>
  <c r="M29"/>
  <c r="N29" s="1"/>
  <c r="R28"/>
  <c r="L28" s="1"/>
  <c r="R27"/>
  <c r="K69" s="1"/>
  <c r="R26"/>
  <c r="M26" s="1"/>
  <c r="N26" s="1"/>
  <c r="Q26"/>
  <c r="L26"/>
  <c r="Q25"/>
  <c r="R25" s="1"/>
  <c r="R24"/>
  <c r="L24" s="1"/>
  <c r="R23"/>
  <c r="L23" s="1"/>
  <c r="R22"/>
  <c r="K68" s="1"/>
  <c r="L68" s="1"/>
  <c r="R21"/>
  <c r="K67" s="1"/>
  <c r="L67" s="1"/>
  <c r="D16"/>
  <c r="F16" s="1"/>
  <c r="D7"/>
  <c r="D8" s="1"/>
  <c r="F45" s="1"/>
  <c r="H6"/>
  <c r="D7" i="1"/>
  <c r="R26"/>
  <c r="M26" s="1"/>
  <c r="N26" s="1"/>
  <c r="Q25"/>
  <c r="R25" s="1"/>
  <c r="L25" s="1"/>
  <c r="Q26"/>
  <c r="R32"/>
  <c r="L32" s="1"/>
  <c r="M41"/>
  <c r="N41"/>
  <c r="O41"/>
  <c r="P41"/>
  <c r="Q41"/>
  <c r="R41"/>
  <c r="S41"/>
  <c r="T41"/>
  <c r="R23"/>
  <c r="L23" s="1"/>
  <c r="R24"/>
  <c r="L24" s="1"/>
  <c r="R22"/>
  <c r="L22" s="1"/>
  <c r="T40"/>
  <c r="S40"/>
  <c r="R40"/>
  <c r="Q40"/>
  <c r="P40"/>
  <c r="O40"/>
  <c r="N40"/>
  <c r="M40"/>
  <c r="R21"/>
  <c r="L21" s="1"/>
  <c r="T39"/>
  <c r="S39"/>
  <c r="S38"/>
  <c r="T38"/>
  <c r="T37"/>
  <c r="S37"/>
  <c r="C60"/>
  <c r="R28"/>
  <c r="L28" s="1"/>
  <c r="R29"/>
  <c r="M29" s="1"/>
  <c r="N29" s="1"/>
  <c r="R30"/>
  <c r="L30" s="1"/>
  <c r="R31"/>
  <c r="L31" s="1"/>
  <c r="R27"/>
  <c r="L27" s="1"/>
  <c r="D31"/>
  <c r="D45" s="1"/>
  <c r="D30"/>
  <c r="D29"/>
  <c r="D43" s="1"/>
  <c r="D28"/>
  <c r="D27"/>
  <c r="D41" s="1"/>
  <c r="D26"/>
  <c r="D40" s="1"/>
  <c r="D25"/>
  <c r="D24"/>
  <c r="D38" s="1"/>
  <c r="D23"/>
  <c r="D22"/>
  <c r="D36" s="1"/>
  <c r="D20"/>
  <c r="D34" s="1"/>
  <c r="D20" i="3" l="1"/>
  <c r="D22"/>
  <c r="D36" s="1"/>
  <c r="D24"/>
  <c r="D26"/>
  <c r="D28"/>
  <c r="D30"/>
  <c r="D44" s="1"/>
  <c r="D21"/>
  <c r="D23"/>
  <c r="D37" s="1"/>
  <c r="D25"/>
  <c r="D27"/>
  <c r="D29"/>
  <c r="D31"/>
  <c r="D45" s="1"/>
  <c r="J45" s="1"/>
  <c r="D35"/>
  <c r="D39"/>
  <c r="D38"/>
  <c r="D40"/>
  <c r="D43"/>
  <c r="D34"/>
  <c r="M24"/>
  <c r="N24" s="1"/>
  <c r="M27"/>
  <c r="N27" s="1"/>
  <c r="D42"/>
  <c r="D41"/>
  <c r="M22"/>
  <c r="N22" s="1"/>
  <c r="M31"/>
  <c r="N31" s="1"/>
  <c r="M32"/>
  <c r="N32" s="1"/>
  <c r="M21"/>
  <c r="N21" s="1"/>
  <c r="M23"/>
  <c r="N23" s="1"/>
  <c r="L27"/>
  <c r="L22"/>
  <c r="M28"/>
  <c r="N28" s="1"/>
  <c r="M30"/>
  <c r="N30" s="1"/>
  <c r="L69"/>
  <c r="L25"/>
  <c r="M25"/>
  <c r="N25" s="1"/>
  <c r="F34"/>
  <c r="F36"/>
  <c r="F38"/>
  <c r="F40"/>
  <c r="F42"/>
  <c r="F44"/>
  <c r="L21"/>
  <c r="F35"/>
  <c r="F37"/>
  <c r="F39"/>
  <c r="F41"/>
  <c r="F43"/>
  <c r="K70" i="1"/>
  <c r="L70" s="1"/>
  <c r="L26"/>
  <c r="K69"/>
  <c r="L69" s="1"/>
  <c r="K68"/>
  <c r="M31"/>
  <c r="N31" s="1"/>
  <c r="M32"/>
  <c r="N32" s="1"/>
  <c r="M24"/>
  <c r="N24" s="1"/>
  <c r="M27"/>
  <c r="N27" s="1"/>
  <c r="M22"/>
  <c r="N22" s="1"/>
  <c r="M30"/>
  <c r="N30" s="1"/>
  <c r="M28"/>
  <c r="N28" s="1"/>
  <c r="M25"/>
  <c r="M23"/>
  <c r="N23" s="1"/>
  <c r="M21"/>
  <c r="N21" s="1"/>
  <c r="L29"/>
  <c r="H6"/>
  <c r="D8"/>
  <c r="D16"/>
  <c r="F16" s="1"/>
  <c r="D42"/>
  <c r="D44"/>
  <c r="D37"/>
  <c r="D39"/>
  <c r="C61"/>
  <c r="C62"/>
  <c r="F45" l="1"/>
  <c r="F41"/>
  <c r="F35"/>
  <c r="F43"/>
  <c r="F40"/>
  <c r="F36"/>
  <c r="F34"/>
  <c r="F38"/>
  <c r="J44" i="3"/>
  <c r="J36"/>
  <c r="J35"/>
  <c r="J37"/>
  <c r="J38"/>
  <c r="J39"/>
  <c r="J43"/>
  <c r="J40"/>
  <c r="D14"/>
  <c r="D54" s="1"/>
  <c r="K54" s="1"/>
  <c r="J41"/>
  <c r="D15"/>
  <c r="D46"/>
  <c r="J42"/>
  <c r="F46"/>
  <c r="J34"/>
  <c r="L68" i="1"/>
  <c r="N25"/>
  <c r="F37"/>
  <c r="J37" s="1"/>
  <c r="J35"/>
  <c r="F39"/>
  <c r="J39" s="1"/>
  <c r="J41"/>
  <c r="J43"/>
  <c r="J45"/>
  <c r="J34"/>
  <c r="J36"/>
  <c r="J40"/>
  <c r="F42"/>
  <c r="J42" s="1"/>
  <c r="F44"/>
  <c r="J44" s="1"/>
  <c r="J38"/>
  <c r="D46"/>
  <c r="D14"/>
  <c r="D54" s="1"/>
  <c r="D15"/>
  <c r="F46" l="1"/>
  <c r="H54" i="3"/>
  <c r="D47"/>
  <c r="J55"/>
  <c r="J54"/>
  <c r="D56" s="1"/>
  <c r="J47"/>
  <c r="J46"/>
  <c r="D55"/>
  <c r="K54" i="1"/>
  <c r="J46"/>
  <c r="K46" s="1"/>
  <c r="J47"/>
  <c r="D55"/>
  <c r="D47"/>
  <c r="H54"/>
  <c r="D57" i="3" l="1"/>
  <c r="E56"/>
  <c r="G57"/>
  <c r="M68"/>
  <c r="O68" s="1"/>
  <c r="M67"/>
  <c r="O67" s="1"/>
  <c r="D62"/>
  <c r="F61"/>
  <c r="D60"/>
  <c r="F62"/>
  <c r="D61"/>
  <c r="F60"/>
  <c r="K55"/>
  <c r="M69"/>
  <c r="O69" s="1"/>
  <c r="L46"/>
  <c r="K46"/>
  <c r="B59"/>
  <c r="B56"/>
  <c r="B57"/>
  <c r="M70" i="1"/>
  <c r="O70" s="1"/>
  <c r="Q70" s="1"/>
  <c r="J55"/>
  <c r="G57" s="1"/>
  <c r="J54"/>
  <c r="M68"/>
  <c r="O68" s="1"/>
  <c r="M69"/>
  <c r="O69" s="1"/>
  <c r="Q69" s="1"/>
  <c r="K55"/>
  <c r="L46"/>
  <c r="D56" l="1"/>
  <c r="D60" s="1"/>
  <c r="P69" i="3"/>
  <c r="Q69"/>
  <c r="P67"/>
  <c r="Q67"/>
  <c r="P68"/>
  <c r="Q68"/>
  <c r="P70" i="1"/>
  <c r="D70" s="1"/>
  <c r="D57"/>
  <c r="P69"/>
  <c r="F69" s="1"/>
  <c r="P68"/>
  <c r="Q68"/>
  <c r="E56"/>
  <c r="B56"/>
  <c r="F60" l="1"/>
  <c r="D61"/>
  <c r="B57"/>
  <c r="F61"/>
  <c r="D62"/>
  <c r="F63"/>
  <c r="D63"/>
  <c r="F62"/>
  <c r="D68" i="3"/>
  <c r="F68"/>
  <c r="D67"/>
  <c r="F67"/>
  <c r="D69"/>
  <c r="F69"/>
  <c r="F70" i="1"/>
  <c r="B59"/>
  <c r="F68"/>
  <c r="D68"/>
  <c r="D69"/>
</calcChain>
</file>

<file path=xl/comments1.xml><?xml version="1.0" encoding="utf-8"?>
<comments xmlns="http://schemas.openxmlformats.org/spreadsheetml/2006/main">
  <authors>
    <author>HerzerP</author>
    <author>Tobias Himmelreich</author>
    <author>BehringerJ</author>
    <author>himmelreicht</author>
  </authors>
  <commentList>
    <comment ref="D7" authorId="0">
      <text>
        <r>
          <rPr>
            <sz val="8"/>
            <color indexed="81"/>
            <rFont val="Tahoma"/>
            <family val="2"/>
          </rPr>
          <t>The power demand is amps times voltage: [W] = [A] x [V]</t>
        </r>
      </text>
    </comment>
    <comment ref="D11" authorId="1">
      <text>
        <r>
          <rPr>
            <sz val="8"/>
            <color indexed="81"/>
            <rFont val="Tahoma"/>
            <family val="2"/>
          </rPr>
          <t>Please enter '0' if you don't use a solar panel</t>
        </r>
      </text>
    </comment>
    <comment ref="D12" authorId="2">
      <text>
        <r>
          <rPr>
            <sz val="8"/>
            <color indexed="81"/>
            <rFont val="Tahoma"/>
            <family val="2"/>
          </rPr>
          <t>System losses are usually 15 % due to transformations in converter and charge controller as well as the length of power cables, etc.</t>
        </r>
      </text>
    </comment>
    <comment ref="F16" authorId="2">
      <text>
        <r>
          <rPr>
            <sz val="8"/>
            <color indexed="81"/>
            <rFont val="Tahoma"/>
            <family val="2"/>
          </rPr>
          <t>In average, solar panels made of crystalline silicon have a nominal power of ca. 120 Wpeak/m² (ca. 11 Wpeak/ft²)</t>
        </r>
      </text>
    </comment>
    <comment ref="D54" authorId="3">
      <text>
        <r>
          <rPr>
            <sz val="8"/>
            <color indexed="81"/>
            <rFont val="Tahoma"/>
            <family val="2"/>
          </rPr>
          <t>This is the maximum daily deviation from energy demand and energy yield from solar panel that needs to be covered by EFOY Pro.</t>
        </r>
      </text>
    </comment>
    <comment ref="D55" authorId="3">
      <text>
        <r>
          <rPr>
            <sz val="8"/>
            <color indexed="81"/>
            <rFont val="Tahoma"/>
            <family val="2"/>
          </rPr>
          <t>This is the annual deviation from energy demand and energy yield from solar panel that needs to be covered by EFOY Pro.</t>
        </r>
      </text>
    </comment>
  </commentList>
</comments>
</file>

<file path=xl/comments2.xml><?xml version="1.0" encoding="utf-8"?>
<comments xmlns="http://schemas.openxmlformats.org/spreadsheetml/2006/main">
  <authors>
    <author>HerzerP</author>
    <author>Tobias Himmelreich</author>
    <author>BehringerJ</author>
    <author>himmelreicht</author>
  </authors>
  <commentList>
    <comment ref="D7" authorId="0">
      <text>
        <r>
          <rPr>
            <sz val="8"/>
            <color indexed="81"/>
            <rFont val="Tahoma"/>
            <family val="2"/>
          </rPr>
          <t>The power demand is amps times voltage: [W] = [A] x [V]</t>
        </r>
      </text>
    </comment>
    <comment ref="D11" authorId="1">
      <text>
        <r>
          <rPr>
            <sz val="8"/>
            <color indexed="81"/>
            <rFont val="Tahoma"/>
            <family val="2"/>
          </rPr>
          <t>Please enter '0' if you don't use a solar panel</t>
        </r>
      </text>
    </comment>
    <comment ref="D12" authorId="2">
      <text>
        <r>
          <rPr>
            <sz val="8"/>
            <color indexed="81"/>
            <rFont val="Tahoma"/>
            <family val="2"/>
          </rPr>
          <t>System losses are usually 15 % due to transformations in converter and charge controller as well as the length of power cables, etc.</t>
        </r>
      </text>
    </comment>
    <comment ref="F16" authorId="2">
      <text>
        <r>
          <rPr>
            <sz val="8"/>
            <color indexed="81"/>
            <rFont val="Tahoma"/>
            <family val="2"/>
          </rPr>
          <t>In average, solar panels made of crystalline silicon have a nominal power of ca. 120 Wpeak/m² (ca. 11 Wpeak/ft²)</t>
        </r>
      </text>
    </comment>
    <comment ref="D54" authorId="3">
      <text>
        <r>
          <rPr>
            <sz val="8"/>
            <color indexed="81"/>
            <rFont val="Tahoma"/>
            <family val="2"/>
          </rPr>
          <t>This is the maximum daily deviation from energy demand and energy yield from solar panel that needs to be covered by EFOY Pro.</t>
        </r>
      </text>
    </comment>
    <comment ref="D55" authorId="3">
      <text>
        <r>
          <rPr>
            <sz val="8"/>
            <color indexed="81"/>
            <rFont val="Tahoma"/>
            <family val="2"/>
          </rPr>
          <t>This is the annual deviation from energy demand and energy yield from solar panel that needs to be covered by EFOY Pro.</t>
        </r>
      </text>
    </comment>
  </commentList>
</comments>
</file>

<file path=xl/sharedStrings.xml><?xml version="1.0" encoding="utf-8"?>
<sst xmlns="http://schemas.openxmlformats.org/spreadsheetml/2006/main" count="792" uniqueCount="555">
  <si>
    <t>Januar</t>
  </si>
  <si>
    <t>Februar</t>
  </si>
  <si>
    <t>März</t>
  </si>
  <si>
    <t>April</t>
  </si>
  <si>
    <t>Mai</t>
  </si>
  <si>
    <t>Juni</t>
  </si>
  <si>
    <t>Juli</t>
  </si>
  <si>
    <t>August</t>
  </si>
  <si>
    <t>September</t>
  </si>
  <si>
    <t>Oktober</t>
  </si>
  <si>
    <t>November</t>
  </si>
  <si>
    <t>Dezember</t>
  </si>
  <si>
    <t>Stadt</t>
  </si>
  <si>
    <t>Energieertrag PV-Anlage</t>
  </si>
  <si>
    <t>Jan</t>
  </si>
  <si>
    <t>Feb</t>
  </si>
  <si>
    <t>Mär</t>
  </si>
  <si>
    <t>Apr</t>
  </si>
  <si>
    <t>Jun</t>
  </si>
  <si>
    <t>Jul</t>
  </si>
  <si>
    <t>Aug</t>
  </si>
  <si>
    <t>Sep</t>
  </si>
  <si>
    <t>Okt</t>
  </si>
  <si>
    <t>Nov</t>
  </si>
  <si>
    <t>Dez</t>
  </si>
  <si>
    <t>Solareinstrahlung</t>
  </si>
  <si>
    <t>Energielücke</t>
  </si>
  <si>
    <t>USA, Alaska</t>
  </si>
  <si>
    <t>Netherlands, Amsterdam</t>
  </si>
  <si>
    <t>China, Beijing</t>
  </si>
  <si>
    <t>Australia, Brisbane</t>
  </si>
  <si>
    <t>Belgium, Brussels</t>
  </si>
  <si>
    <t>Denmark, Copenhagen</t>
  </si>
  <si>
    <t>Germany, Dresden</t>
  </si>
  <si>
    <t>Germany, Düsseldorf</t>
  </si>
  <si>
    <t>United Kingdom, Edinburgh</t>
  </si>
  <si>
    <t>Brazil, Fortaleza - CE</t>
  </si>
  <si>
    <t>Germany, Frankfurt a.M.</t>
  </si>
  <si>
    <t>United Kingdom, Glasgow</t>
  </si>
  <si>
    <t>Germany, Hamburg</t>
  </si>
  <si>
    <t>Germany, Köln</t>
  </si>
  <si>
    <t>Germany, München</t>
  </si>
  <si>
    <t>Germany, Stuttgart</t>
  </si>
  <si>
    <t>Turkey, Istanbul</t>
  </si>
  <si>
    <t>Portugal, Lisbon</t>
  </si>
  <si>
    <t>United Kingdom, London</t>
  </si>
  <si>
    <t>Spain, Madrid</t>
  </si>
  <si>
    <t>Italy, Milano</t>
  </si>
  <si>
    <t>Russia, Moscow</t>
  </si>
  <si>
    <t>USA, New York City, NY</t>
  </si>
  <si>
    <t>USA, Miami, FL</t>
  </si>
  <si>
    <t>USA, Chicago, IL</t>
  </si>
  <si>
    <t>USA, Austin, TX</t>
  </si>
  <si>
    <t>USA, Washington D.C.</t>
  </si>
  <si>
    <t>Norway, Oslo</t>
  </si>
  <si>
    <t>France, Paris</t>
  </si>
  <si>
    <t>Czech Republic, Prague</t>
  </si>
  <si>
    <t>Brazil, Rio de Janeiro</t>
  </si>
  <si>
    <t>Italy, Rome</t>
  </si>
  <si>
    <t>Netherlands, Rotterdam</t>
  </si>
  <si>
    <t>Chile, Santiago de Chile</t>
  </si>
  <si>
    <t>Russia, St. Petersburg</t>
  </si>
  <si>
    <t>Sweden, Stockholm</t>
  </si>
  <si>
    <t>Japan, Tokyo</t>
  </si>
  <si>
    <t>Spain, Valencia</t>
  </si>
  <si>
    <t>Poland, Warsaw</t>
  </si>
  <si>
    <t>Austria, Vienna</t>
  </si>
  <si>
    <t>Croatia, Zagreb</t>
  </si>
  <si>
    <t>Germany, Berlin</t>
  </si>
  <si>
    <t>Austria, Innsbruck</t>
  </si>
  <si>
    <t>France, Lyon</t>
  </si>
  <si>
    <t>Greece, Athens</t>
  </si>
  <si>
    <t>Finland. Helsinki</t>
  </si>
  <si>
    <t>Please fill out the white cells:</t>
  </si>
  <si>
    <t>Energy Demand</t>
  </si>
  <si>
    <t>Current</t>
  </si>
  <si>
    <t>Voltage</t>
  </si>
  <si>
    <t>Duration per day</t>
  </si>
  <si>
    <t>Power demand</t>
  </si>
  <si>
    <t>Energy demand per day</t>
  </si>
  <si>
    <t>System losses</t>
  </si>
  <si>
    <t>Location</t>
  </si>
  <si>
    <t>Energy yield in worst month</t>
  </si>
  <si>
    <r>
      <t>Nominal power (P</t>
    </r>
    <r>
      <rPr>
        <b/>
        <vertAlign val="subscript"/>
        <sz val="11"/>
        <rFont val="DIN-Regular"/>
        <family val="2"/>
      </rPr>
      <t>peak</t>
    </r>
    <r>
      <rPr>
        <b/>
        <sz val="11"/>
        <rFont val="DIN-Regular"/>
        <family val="2"/>
      </rPr>
      <t>) of solar panel</t>
    </r>
  </si>
  <si>
    <t>Annual solar yield</t>
  </si>
  <si>
    <t>Size of solar panel</t>
  </si>
  <si>
    <t>Energy Gap that Needs to be Covered by EFOY Pro</t>
  </si>
  <si>
    <t>Maximum energy gap</t>
  </si>
  <si>
    <t>Total energy gap per year</t>
  </si>
  <si>
    <t>to</t>
  </si>
  <si>
    <t>Fuel Cartridge M5</t>
  </si>
  <si>
    <t>Fuel Cartridge M10</t>
  </si>
  <si>
    <t>Fuel Cartridge M28</t>
  </si>
  <si>
    <t>Solar Yield</t>
  </si>
  <si>
    <t>Energy Yield Solar Panel (Crystalline Silicon Solar Module)</t>
  </si>
  <si>
    <t>Mar</t>
  </si>
  <si>
    <t>May</t>
  </si>
  <si>
    <t>Oct</t>
  </si>
  <si>
    <t>Dec</t>
  </si>
  <si>
    <r>
      <t>Disclaimer:</t>
    </r>
    <r>
      <rPr>
        <sz val="9"/>
        <rFont val="DIN-Regular"/>
        <family val="2"/>
      </rPr>
      <t xml:space="preserve">
SFC Energy AG takes no responsibility for correctness of this calculation. The values generated by the energy calculator are estimates under ideal conditions only and should not be taken as formal quotes.  The real energy yield from solar panel can depend on further factors like inclination, alignment and fouling of solar panels as well as shading due to buildings, trees, etc.</t>
    </r>
  </si>
  <si>
    <t>Summe</t>
  </si>
  <si>
    <t>Differenz</t>
  </si>
  <si>
    <t>Mexico, Mexico City</t>
  </si>
  <si>
    <t>Mexico, Monterrey</t>
  </si>
  <si>
    <t>USA, Los Angeles, CA</t>
  </si>
  <si>
    <t>USA, Atlanta, GA</t>
  </si>
  <si>
    <t>Italy, Palermo</t>
  </si>
  <si>
    <t>USA, Kansas City, KS</t>
  </si>
  <si>
    <t>USA, Denver, CO</t>
  </si>
  <si>
    <t>Greece, Thessaloniki</t>
  </si>
  <si>
    <t>Turkey, Ankara</t>
  </si>
  <si>
    <t>Spain, Barcelona</t>
  </si>
  <si>
    <t>Bulgaria, Sofia</t>
  </si>
  <si>
    <t>Switzerland, Zürich</t>
  </si>
  <si>
    <t>Hungary, Budapest</t>
  </si>
  <si>
    <t>USA, Seattle, WA</t>
  </si>
  <si>
    <t>Canada, Vancouver, BC</t>
  </si>
  <si>
    <t>United Kingdom, Cardiff</t>
  </si>
  <si>
    <t>Poland, Gdansk</t>
  </si>
  <si>
    <t>Lithuania, Vilnius</t>
  </si>
  <si>
    <t>Latvia, Riga</t>
  </si>
  <si>
    <t>Sweden, Gothenburg</t>
  </si>
  <si>
    <t>Estonia, Tallinn</t>
  </si>
  <si>
    <t>Norway, Trondheim</t>
  </si>
  <si>
    <t>Iceland, Reykjavík</t>
  </si>
  <si>
    <t>Finland, Rovaniemi</t>
  </si>
  <si>
    <t>* The shown values are average values for one year. The real autonomous runtime depends on season and may vary because of antifreeze mode as well as start/shut-down phases of EFOY Pro where not the full power output is generated.</t>
  </si>
  <si>
    <t>Ukraine, Kiev</t>
  </si>
  <si>
    <t>Romania, Bucharest</t>
  </si>
  <si>
    <t>Serbia, Belgrade</t>
  </si>
  <si>
    <t>Spain, Seville</t>
  </si>
  <si>
    <t>France, Nice</t>
  </si>
  <si>
    <t>Switzerland, Geneva</t>
  </si>
  <si>
    <t>Kenya, Nairobi</t>
  </si>
  <si>
    <t>Malaysia, Kuala Lumpur</t>
  </si>
  <si>
    <t>Thailand, Bangkok</t>
  </si>
  <si>
    <t>South Africa, Pretoria</t>
  </si>
  <si>
    <t>Israel, Tel Aviv</t>
  </si>
  <si>
    <t>South Africa, Capetown</t>
  </si>
  <si>
    <t>Australia, Sydney</t>
  </si>
  <si>
    <t>United Kingdom, Manchester</t>
  </si>
  <si>
    <t>Singapore, Singapore</t>
  </si>
  <si>
    <t>Colombia, Bogotá</t>
  </si>
  <si>
    <t>Sultanate of Brunei, Bandar Seri Begawan</t>
  </si>
  <si>
    <t>Venezuela, Caracas</t>
  </si>
  <si>
    <t>Colombia, Cartagena</t>
  </si>
  <si>
    <t>Peru, Lima</t>
  </si>
  <si>
    <t>Republic of China, Taipei City</t>
  </si>
  <si>
    <t>Argentina, Buenos Aires</t>
  </si>
  <si>
    <t>South Korea, Seoul</t>
  </si>
  <si>
    <t>New Zealand, Wellington</t>
  </si>
  <si>
    <t>Australian Antarctic Division</t>
  </si>
  <si>
    <t>Australia, Hobart</t>
  </si>
  <si>
    <t>Australia, Melbourne</t>
  </si>
  <si>
    <t>Australia, Perth</t>
  </si>
  <si>
    <t>Four EFOY fuel cartridges per device**</t>
  </si>
  <si>
    <t>** Requires EFOY Pro Duo plus two DuoCartSwitch DCS1 to connect 4 EFOY fuel cartridges</t>
  </si>
  <si>
    <t>Operating Hours per Year and per Device***</t>
  </si>
  <si>
    <t>*** Average values; actual yearly number of operating hours can vary depending on age of EFOY Pro unit</t>
  </si>
  <si>
    <t>Canada, Fort St. John, BC</t>
  </si>
  <si>
    <t>Canada, Bonnyville, AB</t>
  </si>
  <si>
    <t>Canada, Brooks, AB</t>
  </si>
  <si>
    <t>Canada, Cold Lake, AB</t>
  </si>
  <si>
    <t>Canada, Grande Prairie, AB</t>
  </si>
  <si>
    <t>Canada, Rocky Mt. Hs., AB</t>
  </si>
  <si>
    <t>Canada, Whitecourt ,AB</t>
  </si>
  <si>
    <t>Canada, Drayton Valley, AB</t>
  </si>
  <si>
    <t>Canada, Peace River, AB</t>
  </si>
  <si>
    <t>Canada, Fort McMurray, AB</t>
  </si>
  <si>
    <t>Canada, Edmonton, AB</t>
  </si>
  <si>
    <t>Canada, Québec, QC</t>
  </si>
  <si>
    <t>Canada, Calgary, AB</t>
  </si>
  <si>
    <t>Canada, Toronto, ON</t>
  </si>
  <si>
    <t>Data: https://eosweb.larc.nasa.gov/cgi-bin/sse/retscreen.cgi?&amp;email=rets@nrcan.gc.ca&amp;step=1&amp;p=&amp;lat=488&amp;submit=Submit&amp;lon=1134</t>
  </si>
  <si>
    <t>New Zealand, Christchurch</t>
  </si>
  <si>
    <t>New Zealand, Auckland</t>
  </si>
  <si>
    <t>EFOY Pro</t>
  </si>
  <si>
    <t>Ausgangsleistung</t>
  </si>
  <si>
    <t>EFOY Pro 800 (Duo)</t>
  </si>
  <si>
    <t>Anzahl</t>
  </si>
  <si>
    <t>Leistung</t>
  </si>
  <si>
    <t>EFOY Pro 2400 (Duo)</t>
  </si>
  <si>
    <t>EFOY Pro 12000 Duo</t>
  </si>
  <si>
    <t>Leistung / Monat</t>
  </si>
  <si>
    <t>Max</t>
  </si>
  <si>
    <t>Min</t>
  </si>
  <si>
    <t>Leistung / Tag</t>
  </si>
  <si>
    <t>Leistung / Jahr</t>
  </si>
  <si>
    <t>not</t>
  </si>
  <si>
    <t>neccessary</t>
  </si>
  <si>
    <t>Value</t>
  </si>
  <si>
    <t>Thailand, Chanthaburi</t>
  </si>
  <si>
    <t>Thailand, Chiang Mai</t>
  </si>
  <si>
    <t>Thailand, Krabi</t>
  </si>
  <si>
    <t>Thailand, Rayong</t>
  </si>
  <si>
    <t>Thailand, Ubon Ratchathani</t>
  </si>
  <si>
    <t>possible</t>
  </si>
  <si>
    <t>Devices</t>
  </si>
  <si>
    <t>Hours</t>
  </si>
  <si>
    <t>Units</t>
  </si>
  <si>
    <t>Max. hours year</t>
  </si>
  <si>
    <t>Operation hours</t>
  </si>
  <si>
    <t>Two EFOY fuel cartridge per device</t>
  </si>
  <si>
    <t>Denmark, Greenland, Etah (Tilt 90°)</t>
  </si>
  <si>
    <t>Denmark, Greenland, Nuuk (Tilt 90°)</t>
  </si>
  <si>
    <t>Denmark, Greenland, Uummannaq (Tilt 90°)</t>
  </si>
  <si>
    <t>Sweden, Linden (Tilt 90°)</t>
  </si>
  <si>
    <t>Астрахань</t>
  </si>
  <si>
    <t>Волгоград</t>
  </si>
  <si>
    <t>Краснодар</t>
  </si>
  <si>
    <t>Оренбург</t>
  </si>
  <si>
    <t>Тюмень</t>
  </si>
  <si>
    <t>Омск</t>
  </si>
  <si>
    <t>Салехард</t>
  </si>
  <si>
    <t>Мурманск</t>
  </si>
  <si>
    <t>Архангельск</t>
  </si>
  <si>
    <t>Новосибирск</t>
  </si>
  <si>
    <t>Барнаул</t>
  </si>
  <si>
    <t>Иркустк</t>
  </si>
  <si>
    <t>Чита</t>
  </si>
  <si>
    <t>Хабаровск</t>
  </si>
  <si>
    <t>Владивосток</t>
  </si>
  <si>
    <t>Ханты Мансийск</t>
  </si>
  <si>
    <t>Уренгой</t>
  </si>
  <si>
    <t>Якутск</t>
  </si>
  <si>
    <t>Магадан</t>
  </si>
  <si>
    <t>Норильск</t>
  </si>
  <si>
    <t>Анадырь</t>
  </si>
  <si>
    <t>Казань</t>
  </si>
  <si>
    <t>Петропавловск-Камчатский</t>
  </si>
  <si>
    <t>Нерюнгри</t>
  </si>
  <si>
    <t>Благовещенск</t>
  </si>
  <si>
    <t>Дудинка</t>
  </si>
  <si>
    <t>Кемерово</t>
  </si>
  <si>
    <t>Пермь</t>
  </si>
  <si>
    <t>Екатеринбург</t>
  </si>
  <si>
    <t>Сыктывкар</t>
  </si>
  <si>
    <t>Мирный</t>
  </si>
  <si>
    <t>Ленск</t>
  </si>
  <si>
    <t>Верхоянск</t>
  </si>
  <si>
    <t>Хатанга</t>
  </si>
  <si>
    <t>Ноябрьск</t>
  </si>
  <si>
    <t>Воркута</t>
  </si>
  <si>
    <t>Билибино</t>
  </si>
  <si>
    <t>Оленёк</t>
  </si>
  <si>
    <t>Тура</t>
  </si>
  <si>
    <t>Южно-Сахалинск</t>
  </si>
  <si>
    <t>Охотск</t>
  </si>
  <si>
    <t>Кызыл</t>
  </si>
  <si>
    <t>Астана</t>
  </si>
  <si>
    <t>Костанай</t>
  </si>
  <si>
    <t>Актобе</t>
  </si>
  <si>
    <t>Москва́</t>
  </si>
  <si>
    <t xml:space="preserve">55° 45′ N, </t>
  </si>
  <si>
    <t>Longitude (Längengrad)
E 0 to 180, W 0 to -180</t>
  </si>
  <si>
    <t>Latitude (Breitengrad)
N 0 to 90, S 0 to -90</t>
  </si>
  <si>
    <t>Санкт-Петербу́рг</t>
  </si>
  <si>
    <t>59.57'N</t>
  </si>
  <si>
    <t>30.18'E</t>
  </si>
  <si>
    <t>37° 37′E</t>
  </si>
  <si>
    <t>Inclination (0 - 90°) Equator-Pointed</t>
  </si>
  <si>
    <t>Data:</t>
  </si>
  <si>
    <t>https://eosweb.larc.nasa.gov/cgi-bin/sse/grid.cgi?email=na</t>
  </si>
  <si>
    <t>46° 20′ N</t>
  </si>
  <si>
    <t>48° 02′ E</t>
  </si>
  <si>
    <t>1.38</t>
  </si>
  <si>
    <t>2.25</t>
  </si>
  <si>
    <t>3.45</t>
  </si>
  <si>
    <t>4.58</t>
  </si>
  <si>
    <t>5.73</t>
  </si>
  <si>
    <t>6.02</t>
  </si>
  <si>
    <t>6.13</t>
  </si>
  <si>
    <t>5.37</t>
  </si>
  <si>
    <t>4.19</t>
  </si>
  <si>
    <t>2.55</t>
  </si>
  <si>
    <t>1.41</t>
  </si>
  <si>
    <t>1.04</t>
  </si>
  <si>
    <t>2.19</t>
  </si>
  <si>
    <t>3.20</t>
  </si>
  <si>
    <t>4.20</t>
  </si>
  <si>
    <t>4.92</t>
  </si>
  <si>
    <t>5.57</t>
  </si>
  <si>
    <t>5.51</t>
  </si>
  <si>
    <t>5.52</t>
  </si>
  <si>
    <t>3.48</t>
  </si>
  <si>
    <t>2.13</t>
  </si>
  <si>
    <t>1.67</t>
  </si>
  <si>
    <t>2.97</t>
  </si>
  <si>
    <t>3.49</t>
  </si>
  <si>
    <t>3.53</t>
  </si>
  <si>
    <t>3.54</t>
  </si>
  <si>
    <t>3.35</t>
  </si>
  <si>
    <t>3.55</t>
  </si>
  <si>
    <t>3.75</t>
  </si>
  <si>
    <t>3.89</t>
  </si>
  <si>
    <t>3.14</t>
  </si>
  <si>
    <t>2.09</t>
  </si>
  <si>
    <t>1.68</t>
  </si>
  <si>
    <t>2.84</t>
  </si>
  <si>
    <t>3.23</t>
  </si>
  <si>
    <t>3.04</t>
  </si>
  <si>
    <t>2.86</t>
  </si>
  <si>
    <t>3.03</t>
  </si>
  <si>
    <t>3.28</t>
  </si>
  <si>
    <t>2.02</t>
  </si>
  <si>
    <t>1.64</t>
  </si>
  <si>
    <t>48° 43′ N</t>
  </si>
  <si>
    <t>44° 30′ E</t>
  </si>
  <si>
    <t>1.21</t>
  </si>
  <si>
    <t>2.17</t>
  </si>
  <si>
    <t>4.33</t>
  </si>
  <si>
    <t>5.64</t>
  </si>
  <si>
    <t>5.85</t>
  </si>
  <si>
    <t>5.88</t>
  </si>
  <si>
    <t>5.18</t>
  </si>
  <si>
    <t>3.76</t>
  </si>
  <si>
    <t>2.28</t>
  </si>
  <si>
    <t>1.28</t>
  </si>
  <si>
    <t>0.94</t>
  </si>
  <si>
    <t>1.97</t>
  </si>
  <si>
    <t>3.17</t>
  </si>
  <si>
    <t>4.06</t>
  </si>
  <si>
    <t>4.60</t>
  </si>
  <si>
    <t>5.28</t>
  </si>
  <si>
    <t>5.43</t>
  </si>
  <si>
    <t>5.33</t>
  </si>
  <si>
    <t>4.46</t>
  </si>
  <si>
    <t>3.16</t>
  </si>
  <si>
    <t>1.99</t>
  </si>
  <si>
    <t>1.57</t>
  </si>
  <si>
    <t>2.00</t>
  </si>
  <si>
    <t>2.99</t>
  </si>
  <si>
    <t>3.39</t>
  </si>
  <si>
    <t>3.33</t>
  </si>
  <si>
    <t>3.43</t>
  </si>
  <si>
    <t>3.65</t>
  </si>
  <si>
    <t>3.52</t>
  </si>
  <si>
    <t>2.85</t>
  </si>
  <si>
    <t>1.62</t>
  </si>
  <si>
    <t>1.96</t>
  </si>
  <si>
    <t>2.89</t>
  </si>
  <si>
    <t>3.05</t>
  </si>
  <si>
    <t>3.11</t>
  </si>
  <si>
    <t>2.92</t>
  </si>
  <si>
    <t>3.30</t>
  </si>
  <si>
    <t>3.29</t>
  </si>
  <si>
    <t>2.74</t>
  </si>
  <si>
    <t>1.93</t>
  </si>
  <si>
    <t>1.59</t>
  </si>
  <si>
    <t>45° 02′ N</t>
  </si>
  <si>
    <t>38° 58′ E</t>
  </si>
  <si>
    <t>1.23</t>
  </si>
  <si>
    <t>2.01</t>
  </si>
  <si>
    <t>2.95</t>
  </si>
  <si>
    <t>4.17</t>
  </si>
  <si>
    <t>5.87</t>
  </si>
  <si>
    <t>6.14</t>
  </si>
  <si>
    <t>5.27</t>
  </si>
  <si>
    <t>3.99</t>
  </si>
  <si>
    <t>2.61</t>
  </si>
  <si>
    <t>1.49</t>
  </si>
  <si>
    <t>0.98</t>
  </si>
  <si>
    <t>1.84</t>
  </si>
  <si>
    <t>2.77</t>
  </si>
  <si>
    <t>3.44</t>
  </si>
  <si>
    <t>4.43</t>
  </si>
  <si>
    <t>5.36</t>
  </si>
  <si>
    <t>5.41</t>
  </si>
  <si>
    <t>5.77</t>
  </si>
  <si>
    <t>5.40</t>
  </si>
  <si>
    <t>4.62</t>
  </si>
  <si>
    <t>2.22</t>
  </si>
  <si>
    <t>1.75</t>
  </si>
  <si>
    <t>2.41</t>
  </si>
  <si>
    <t>2.58</t>
  </si>
  <si>
    <t>2.78</t>
  </si>
  <si>
    <t>2.87</t>
  </si>
  <si>
    <t>3.00</t>
  </si>
  <si>
    <t>2.08</t>
  </si>
  <si>
    <t>1.43</t>
  </si>
  <si>
    <t>51° 46′ N</t>
  </si>
  <si>
    <t>55° 05′ E</t>
  </si>
  <si>
    <t>0.97</t>
  </si>
  <si>
    <t>1.86</t>
  </si>
  <si>
    <t>3.36</t>
  </si>
  <si>
    <t>4.64</t>
  </si>
  <si>
    <t>6.01</t>
  </si>
  <si>
    <t>6.47</t>
  </si>
  <si>
    <t>6.25</t>
  </si>
  <si>
    <t>5.16</t>
  </si>
  <si>
    <t>3.72</t>
  </si>
  <si>
    <t>1.14</t>
  </si>
  <si>
    <t>0.80</t>
  </si>
  <si>
    <t>1.71</t>
  </si>
  <si>
    <t>2.64</t>
  </si>
  <si>
    <t>3.51</t>
  </si>
  <si>
    <t>3.40</t>
  </si>
  <si>
    <t>3.50</t>
  </si>
  <si>
    <t>2.69</t>
  </si>
  <si>
    <t>1.88</t>
  </si>
  <si>
    <t>1.55</t>
  </si>
  <si>
    <t>57° 09′ N</t>
  </si>
  <si>
    <t>65° 31′ E</t>
  </si>
  <si>
    <t>0.57</t>
  </si>
  <si>
    <t>1.39</t>
  </si>
  <si>
    <t>2.79</t>
  </si>
  <si>
    <t>4.37</t>
  </si>
  <si>
    <t>5.2</t>
  </si>
  <si>
    <t>6.07</t>
  </si>
  <si>
    <t>5.75</t>
  </si>
  <si>
    <t>4.1</t>
  </si>
  <si>
    <t>2.65</t>
  </si>
  <si>
    <t>1.46</t>
  </si>
  <si>
    <t>1.33</t>
  </si>
  <si>
    <t>2.32</t>
  </si>
  <si>
    <t>3.31</t>
  </si>
  <si>
    <t>3.69</t>
  </si>
  <si>
    <t>3.47</t>
  </si>
  <si>
    <t>2.98</t>
  </si>
  <si>
    <t>2.63</t>
  </si>
  <si>
    <t>2.07</t>
  </si>
  <si>
    <t>1.05</t>
  </si>
  <si>
    <t>54° 59′ N</t>
  </si>
  <si>
    <t>73° 22′ E</t>
  </si>
  <si>
    <t>0.76</t>
  </si>
  <si>
    <t>1.56</t>
  </si>
  <si>
    <t>4.48</t>
  </si>
  <si>
    <t>5.79</t>
  </si>
  <si>
    <t>6.35</t>
  </si>
  <si>
    <t>5.83</t>
  </si>
  <si>
    <t>3.15</t>
  </si>
  <si>
    <t>1.85</t>
  </si>
  <si>
    <t>0.99</t>
  </si>
  <si>
    <t>0.63</t>
  </si>
  <si>
    <t>1.52</t>
  </si>
  <si>
    <t>2.38</t>
  </si>
  <si>
    <t>3.59</t>
  </si>
  <si>
    <t>3.37</t>
  </si>
  <si>
    <t>3.25</t>
  </si>
  <si>
    <t>3.08</t>
  </si>
  <si>
    <t>1.87</t>
  </si>
  <si>
    <t>1.50</t>
  </si>
  <si>
    <t>66° 31′ N</t>
  </si>
  <si>
    <t>66° 36′ E</t>
  </si>
  <si>
    <t>68° 58′ N</t>
  </si>
  <si>
    <t>33° 05′ E</t>
  </si>
  <si>
    <t>64° 32′ N</t>
  </si>
  <si>
    <t>40° 32′ E</t>
  </si>
  <si>
    <t>55° 02′ N</t>
  </si>
  <si>
    <t>82° 56′ E</t>
  </si>
  <si>
    <t>53° 21′ N</t>
  </si>
  <si>
    <t>83° 45′ E</t>
  </si>
  <si>
    <t>52° 17′ N</t>
  </si>
  <si>
    <t>104° 17′ E</t>
  </si>
  <si>
    <t>52° 01′ N</t>
  </si>
  <si>
    <t>113° 30′ E</t>
  </si>
  <si>
    <t>48° 28′ N</t>
  </si>
  <si>
    <t>135° 05′ E</t>
  </si>
  <si>
    <t>43° 06′ N</t>
  </si>
  <si>
    <t>131° 52′ E</t>
  </si>
  <si>
    <t>61° 00′ N</t>
  </si>
  <si>
    <t>69° 00′ E</t>
  </si>
  <si>
    <t>65° 57′ N</t>
  </si>
  <si>
    <t>78° 22′ E</t>
  </si>
  <si>
    <t>62° 02′ N</t>
  </si>
  <si>
    <t>129° 43′ E</t>
  </si>
  <si>
    <t>69° 21′ N</t>
  </si>
  <si>
    <t>88° 12′ E</t>
  </si>
  <si>
    <t>64° 44′ N</t>
  </si>
  <si>
    <t>177° 30′ E</t>
  </si>
  <si>
    <t>55° 47′ N</t>
  </si>
  <si>
    <t>49° 07′ E</t>
  </si>
  <si>
    <t>53° 02′ N</t>
  </si>
  <si>
    <t>158° 39′ E</t>
  </si>
  <si>
    <t>59° 33′ N</t>
  </si>
  <si>
    <t>150° 48′ E</t>
  </si>
  <si>
    <t>56° 39′ N</t>
  </si>
  <si>
    <t>124° 38′ E</t>
  </si>
  <si>
    <t>50° 16′ N</t>
  </si>
  <si>
    <t>127° 32′ E</t>
  </si>
  <si>
    <t>69° 24′ N</t>
  </si>
  <si>
    <t>86° 10′ E</t>
  </si>
  <si>
    <t>55° 19′ N</t>
  </si>
  <si>
    <t>86° 04′ E</t>
  </si>
  <si>
    <t>58° 00′ N</t>
  </si>
  <si>
    <t>56° 15′ E</t>
  </si>
  <si>
    <t>56° 51′ N</t>
  </si>
  <si>
    <t>60° 36′ E</t>
  </si>
  <si>
    <t>61° 40′ N</t>
  </si>
  <si>
    <t>50° 48′ E</t>
  </si>
  <si>
    <t>0.68</t>
  </si>
  <si>
    <t>4.27</t>
  </si>
  <si>
    <t>5.54</t>
  </si>
  <si>
    <t>6.00</t>
  </si>
  <si>
    <t>5.74</t>
  </si>
  <si>
    <t>4.47</t>
  </si>
  <si>
    <t>2.81</t>
  </si>
  <si>
    <t>1.48</t>
  </si>
  <si>
    <t>0.82</t>
  </si>
  <si>
    <t>0.54</t>
  </si>
  <si>
    <t>3.61</t>
  </si>
  <si>
    <t>4.26</t>
  </si>
  <si>
    <t>4.52</t>
  </si>
  <si>
    <t>4.45</t>
  </si>
  <si>
    <t>4.04</t>
  </si>
  <si>
    <t>3.22</t>
  </si>
  <si>
    <t>2.21</t>
  </si>
  <si>
    <t>1.63</t>
  </si>
  <si>
    <t>1.42</t>
  </si>
  <si>
    <t>3.46</t>
  </si>
  <si>
    <t>3.21</t>
  </si>
  <si>
    <t>2.72</t>
  </si>
  <si>
    <t>1.54</t>
  </si>
  <si>
    <t>1.34</t>
  </si>
  <si>
    <t>62° 32′ N</t>
  </si>
  <si>
    <t>113° 57′ E</t>
  </si>
  <si>
    <t>60° 43′ N</t>
  </si>
  <si>
    <t>114° 55′ E</t>
  </si>
  <si>
    <t>67° 33′ N</t>
  </si>
  <si>
    <t>133° 23′ E</t>
  </si>
  <si>
    <t>71° 58′ N</t>
  </si>
  <si>
    <t>102° 28′ E</t>
  </si>
  <si>
    <t>63° 11′ N</t>
  </si>
  <si>
    <t>75° 26′ E</t>
  </si>
  <si>
    <t>67° 29′ N</t>
  </si>
  <si>
    <t>64° 03′ E</t>
  </si>
  <si>
    <t>68° 03′ N</t>
  </si>
  <si>
    <t>166° 26′ E</t>
  </si>
  <si>
    <t>68° 30′ N</t>
  </si>
  <si>
    <t>112° 26′ E</t>
  </si>
  <si>
    <t>64° 16′ N</t>
  </si>
  <si>
    <t>100° 13′ E</t>
  </si>
  <si>
    <t>46° 57′ N</t>
  </si>
  <si>
    <t>142° 44′ E</t>
  </si>
  <si>
    <t>59° 21′ N</t>
  </si>
  <si>
    <t>143° 12′ E</t>
  </si>
  <si>
    <t>51° 42′ N</t>
  </si>
  <si>
    <t>94° 27′ E</t>
  </si>
  <si>
    <t>51° 10′ N</t>
  </si>
  <si>
    <t>71° 26′ E</t>
  </si>
  <si>
    <t>53° 12′ N</t>
  </si>
  <si>
    <t>63° 37′ E</t>
  </si>
  <si>
    <t>57° 12′ E</t>
  </si>
  <si>
    <t>55° 45′ N</t>
  </si>
  <si>
    <t>37° 37′ E</t>
  </si>
  <si>
    <t>59° 57' N</t>
  </si>
  <si>
    <t>30° 18′ E</t>
  </si>
  <si>
    <r>
      <t xml:space="preserve">EFOY Pro + Solar Energy Calculator
</t>
    </r>
    <r>
      <rPr>
        <b/>
        <sz val="11"/>
        <color indexed="63"/>
        <rFont val="DIN-Regular"/>
        <family val="2"/>
      </rPr>
      <t>v3.5</t>
    </r>
  </si>
  <si>
    <t>Fuel Tank MT60</t>
  </si>
  <si>
    <t>Inclination</t>
  </si>
  <si>
    <t>India, Mumbai</t>
  </si>
  <si>
    <t>Energy Gap that needs to be covered by EFOY Pro</t>
  </si>
  <si>
    <t>EFOY Pro + Solar Energy Calculator
v3.5</t>
  </si>
  <si>
    <r>
      <t>Nominal power (P</t>
    </r>
    <r>
      <rPr>
        <b/>
        <vertAlign val="subscript"/>
        <sz val="9"/>
        <rFont val="DIN-Regular"/>
        <family val="2"/>
      </rPr>
      <t>peak</t>
    </r>
    <r>
      <rPr>
        <b/>
        <sz val="9"/>
        <rFont val="DIN-Regular"/>
        <family val="2"/>
      </rPr>
      <t>) of solar panel</t>
    </r>
  </si>
  <si>
    <r>
      <t>Disclaimer:</t>
    </r>
    <r>
      <rPr>
        <sz val="8"/>
        <rFont val="DIN-Regular"/>
        <family val="2"/>
      </rPr>
      <t xml:space="preserve">
SFC Energy AG takes no responsibility for correctness of this calculation. The values generated by the energy calculator are estimates under ideal conditions only and should not be taken as formal quotes.  The real energy yield from solar panel can depend on further factors like inclination, alignment and fouling of solar panels as well as shading due to buildings, trees, etc.</t>
    </r>
  </si>
</sst>
</file>

<file path=xl/styles.xml><?xml version="1.0" encoding="utf-8"?>
<styleSheet xmlns="http://schemas.openxmlformats.org/spreadsheetml/2006/main">
  <numFmts count="26">
    <numFmt numFmtId="44" formatCode="_-* #,##0.00\ &quot;€&quot;_-;\-* #,##0.00\ &quot;€&quot;_-;_-* &quot;-&quot;??\ &quot;€&quot;_-;_-@_-"/>
    <numFmt numFmtId="43" formatCode="_-* #,##0.00\ _€_-;\-* #,##0.00\ _€_-;_-* &quot;-&quot;??\ _€_-;_-@_-"/>
    <numFmt numFmtId="164" formatCode="0\ &quot;V&quot;"/>
    <numFmt numFmtId="165" formatCode="0\ &quot;units&quot;"/>
    <numFmt numFmtId="166" formatCode="0,000\ &quot;Wh&quot;"/>
    <numFmt numFmtId="167" formatCode="0\ &quot;Wh/Tag&quot;"/>
    <numFmt numFmtId="168" formatCode="0.00\ &quot;A&quot;"/>
    <numFmt numFmtId="169" formatCode="0.0\ &quot;W&quot;"/>
    <numFmt numFmtId="170" formatCode="0\ &quot;Stunden&quot;"/>
    <numFmt numFmtId="171" formatCode="0.00\ &quot;kWh/m² und Tag&quot;"/>
    <numFmt numFmtId="172" formatCode="0\ &quot;Ah&quot;"/>
    <numFmt numFmtId="173" formatCode="0\ &quot;Wp&quot;"/>
    <numFmt numFmtId="174" formatCode="0\ %"/>
    <numFmt numFmtId="175" formatCode="00\ &quot;V&quot;"/>
    <numFmt numFmtId="176" formatCode="&quot;ca.&quot;\ 0.0\ &quot;m²&quot;"/>
    <numFmt numFmtId="177" formatCode="0.00\ &quot;kWh&quot;"/>
    <numFmt numFmtId="178" formatCode="0\ &quot;kWh&quot;"/>
    <numFmt numFmtId="179" formatCode="0.0\ &quot;hours&quot;"/>
    <numFmt numFmtId="180" formatCode="0\ &quot;Wh/day&quot;"/>
    <numFmt numFmtId="181" formatCode="&quot;(ca.&quot;\ 0.0\ &quot;ft²)&quot;"/>
    <numFmt numFmtId="182" formatCode="0.0\ &quot;kWh/year&quot;"/>
    <numFmt numFmtId="183" formatCode="0\ &quot;days&quot;"/>
    <numFmt numFmtId="184" formatCode="0\ &quot;hours&quot;"/>
    <numFmt numFmtId="185" formatCode="0\ &quot;h&quot;"/>
    <numFmt numFmtId="186" formatCode="0.0\ \°"/>
    <numFmt numFmtId="187" formatCode="0\ &quot;°&quot;"/>
  </numFmts>
  <fonts count="38">
    <font>
      <sz val="10"/>
      <name val="Arial"/>
    </font>
    <font>
      <sz val="8"/>
      <name val="Arial"/>
      <family val="2"/>
    </font>
    <font>
      <sz val="10"/>
      <name val="DIN-Regular"/>
      <family val="2"/>
    </font>
    <font>
      <b/>
      <sz val="11"/>
      <name val="DIN-Regular"/>
      <family val="2"/>
    </font>
    <font>
      <sz val="11"/>
      <name val="DIN-Regular"/>
      <family val="2"/>
    </font>
    <font>
      <b/>
      <sz val="11"/>
      <color indexed="9"/>
      <name val="DIN-Regular"/>
      <family val="2"/>
    </font>
    <font>
      <sz val="11"/>
      <color indexed="63"/>
      <name val="DIN-Regular"/>
      <family val="2"/>
    </font>
    <font>
      <vertAlign val="superscript"/>
      <sz val="10"/>
      <name val="DIN-Regular"/>
      <family val="2"/>
    </font>
    <font>
      <sz val="10"/>
      <color indexed="8"/>
      <name val="DIN-Regular"/>
      <family val="2"/>
    </font>
    <font>
      <sz val="8"/>
      <color indexed="8"/>
      <name val="DIN-Regular"/>
      <family val="2"/>
    </font>
    <font>
      <b/>
      <vertAlign val="subscript"/>
      <sz val="11"/>
      <name val="DIN-Regular"/>
      <family val="2"/>
    </font>
    <font>
      <sz val="9"/>
      <name val="DIN-Regular"/>
      <family val="2"/>
    </font>
    <font>
      <b/>
      <sz val="9"/>
      <name val="DIN-Regular"/>
      <family val="2"/>
    </font>
    <font>
      <sz val="10"/>
      <color indexed="10"/>
      <name val="DIN-Regular"/>
      <family val="2"/>
    </font>
    <font>
      <b/>
      <sz val="16"/>
      <color indexed="63"/>
      <name val="DIN-Regular"/>
      <family val="2"/>
    </font>
    <font>
      <b/>
      <sz val="11"/>
      <color indexed="63"/>
      <name val="DIN-Regular"/>
      <family val="2"/>
    </font>
    <font>
      <b/>
      <sz val="10"/>
      <name val="Arial"/>
      <family val="2"/>
    </font>
    <font>
      <b/>
      <sz val="9"/>
      <color indexed="9"/>
      <name val="DIN-Regular"/>
      <family val="2"/>
    </font>
    <font>
      <sz val="8"/>
      <color indexed="81"/>
      <name val="Tahoma"/>
      <family val="2"/>
    </font>
    <font>
      <sz val="10"/>
      <name val="Arial"/>
      <family val="2"/>
    </font>
    <font>
      <sz val="11"/>
      <color indexed="9"/>
      <name val="DIN-Regular"/>
      <family val="2"/>
    </font>
    <font>
      <sz val="11"/>
      <color rgb="FF4D4D4D"/>
      <name val="DIN-Medium"/>
      <family val="2"/>
    </font>
    <font>
      <sz val="10"/>
      <name val="Arial"/>
      <family val="2"/>
    </font>
    <font>
      <sz val="9"/>
      <name val="Arial"/>
      <family val="2"/>
    </font>
    <font>
      <b/>
      <sz val="9"/>
      <color indexed="63"/>
      <name val="DIN-Regular"/>
      <family val="2"/>
    </font>
    <font>
      <sz val="9"/>
      <color indexed="63"/>
      <name val="DIN-Regular"/>
      <family val="2"/>
    </font>
    <font>
      <sz val="9"/>
      <color indexed="10"/>
      <name val="DIN-Regular"/>
      <family val="2"/>
    </font>
    <font>
      <b/>
      <sz val="9"/>
      <name val="Arial"/>
      <family val="2"/>
    </font>
    <font>
      <b/>
      <vertAlign val="subscript"/>
      <sz val="9"/>
      <name val="DIN-Regular"/>
      <family val="2"/>
    </font>
    <font>
      <sz val="9"/>
      <color indexed="8"/>
      <name val="DIN-Regular"/>
      <family val="2"/>
    </font>
    <font>
      <sz val="9"/>
      <color indexed="9"/>
      <name val="DIN-Regular"/>
      <family val="2"/>
    </font>
    <font>
      <vertAlign val="superscript"/>
      <sz val="9"/>
      <name val="DIN-Regular"/>
      <family val="2"/>
    </font>
    <font>
      <sz val="8"/>
      <name val="DIN-Regular"/>
      <family val="2"/>
    </font>
    <font>
      <b/>
      <sz val="8"/>
      <name val="DIN-Regular"/>
      <family val="2"/>
    </font>
    <font>
      <b/>
      <sz val="9"/>
      <color theme="0"/>
      <name val="DIN-Regular"/>
      <family val="2"/>
    </font>
    <font>
      <sz val="9"/>
      <color theme="0"/>
      <name val="DIN-Regular"/>
      <family val="2"/>
    </font>
    <font>
      <sz val="8"/>
      <color indexed="63"/>
      <name val="DIN-Regular"/>
      <family val="2"/>
    </font>
    <font>
      <sz val="9"/>
      <name val="DIN-Medium"/>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19" fillId="0" borderId="0"/>
    <xf numFmtId="43" fontId="22" fillId="0" borderId="0" applyFont="0" applyFill="0" applyBorder="0" applyAlignment="0" applyProtection="0"/>
    <xf numFmtId="44" fontId="22" fillId="0" borderId="0" applyFont="0" applyFill="0" applyBorder="0" applyAlignment="0" applyProtection="0"/>
  </cellStyleXfs>
  <cellXfs count="341">
    <xf numFmtId="0" fontId="0" fillId="0" borderId="0" xfId="0"/>
    <xf numFmtId="0" fontId="2" fillId="2" borderId="0" xfId="0" applyFont="1" applyFill="1" applyBorder="1" applyAlignment="1" applyProtection="1">
      <alignment wrapText="1"/>
      <protection hidden="1"/>
    </xf>
    <xf numFmtId="0" fontId="4" fillId="2" borderId="0" xfId="0" applyFont="1" applyFill="1" applyBorder="1" applyAlignment="1" applyProtection="1">
      <alignment wrapText="1"/>
      <protection hidden="1"/>
    </xf>
    <xf numFmtId="0" fontId="4" fillId="2" borderId="0" xfId="0" applyFont="1" applyFill="1" applyBorder="1" applyAlignment="1" applyProtection="1">
      <alignment horizontal="left" wrapText="1"/>
      <protection hidden="1"/>
    </xf>
    <xf numFmtId="0" fontId="3" fillId="3" borderId="1" xfId="0" applyFont="1" applyFill="1" applyBorder="1" applyAlignment="1" applyProtection="1">
      <alignment horizontal="left" wrapText="1"/>
      <protection hidden="1"/>
    </xf>
    <xf numFmtId="0" fontId="3" fillId="2" borderId="0" xfId="0" applyFont="1" applyFill="1" applyBorder="1" applyAlignment="1" applyProtection="1">
      <alignment horizontal="left" wrapText="1"/>
      <protection hidden="1"/>
    </xf>
    <xf numFmtId="0" fontId="4" fillId="2" borderId="0" xfId="0" applyFont="1" applyFill="1" applyAlignment="1" applyProtection="1">
      <alignment wrapText="1"/>
      <protection hidden="1"/>
    </xf>
    <xf numFmtId="0" fontId="2" fillId="2" borderId="0" xfId="0" applyFont="1" applyFill="1" applyAlignment="1" applyProtection="1">
      <alignment wrapText="1"/>
      <protection hidden="1"/>
    </xf>
    <xf numFmtId="0" fontId="2" fillId="0" borderId="0" xfId="0" applyFont="1" applyAlignment="1" applyProtection="1">
      <alignment wrapText="1"/>
      <protection hidden="1"/>
    </xf>
    <xf numFmtId="164" fontId="4" fillId="2" borderId="0" xfId="0" applyNumberFormat="1" applyFont="1" applyFill="1" applyBorder="1" applyAlignment="1" applyProtection="1">
      <alignment wrapText="1"/>
      <protection hidden="1"/>
    </xf>
    <xf numFmtId="170" fontId="4" fillId="2" borderId="0" xfId="0" applyNumberFormat="1" applyFont="1" applyFill="1" applyBorder="1" applyAlignment="1" applyProtection="1">
      <alignment vertical="center" wrapText="1"/>
      <protection hidden="1"/>
    </xf>
    <xf numFmtId="164" fontId="3" fillId="2" borderId="0" xfId="0" applyNumberFormat="1" applyFont="1" applyFill="1" applyBorder="1" applyAlignment="1" applyProtection="1">
      <alignment wrapText="1"/>
      <protection hidden="1"/>
    </xf>
    <xf numFmtId="167" fontId="3" fillId="2" borderId="0" xfId="0" applyNumberFormat="1" applyFont="1" applyFill="1" applyBorder="1" applyAlignment="1" applyProtection="1">
      <alignment vertical="center" wrapText="1"/>
      <protection hidden="1"/>
    </xf>
    <xf numFmtId="0" fontId="5" fillId="2" borderId="0" xfId="0" applyFont="1" applyFill="1" applyBorder="1" applyAlignment="1" applyProtection="1">
      <alignment wrapText="1"/>
      <protection hidden="1"/>
    </xf>
    <xf numFmtId="0" fontId="2" fillId="2" borderId="0" xfId="0" applyFont="1" applyFill="1" applyBorder="1" applyAlignment="1" applyProtection="1">
      <alignment horizontal="left" wrapText="1"/>
      <protection hidden="1"/>
    </xf>
    <xf numFmtId="0" fontId="8" fillId="2" borderId="0" xfId="0" applyFont="1" applyFill="1" applyBorder="1" applyAlignment="1">
      <alignment wrapText="1"/>
    </xf>
    <xf numFmtId="0" fontId="4" fillId="0" borderId="0" xfId="0" applyFont="1" applyAlignment="1">
      <alignment wrapText="1"/>
    </xf>
    <xf numFmtId="0" fontId="6" fillId="2" borderId="0" xfId="0" applyFont="1" applyFill="1" applyBorder="1" applyAlignment="1" applyProtection="1">
      <alignment vertical="center" wrapText="1"/>
      <protection hidden="1"/>
    </xf>
    <xf numFmtId="0" fontId="13" fillId="2" borderId="0" xfId="0" applyFont="1" applyFill="1" applyBorder="1" applyAlignment="1">
      <alignment horizontal="left" wrapText="1"/>
    </xf>
    <xf numFmtId="0" fontId="2" fillId="2" borderId="0" xfId="0" applyFont="1" applyFill="1" applyBorder="1" applyAlignment="1">
      <alignment wrapText="1"/>
    </xf>
    <xf numFmtId="175" fontId="4" fillId="2" borderId="0" xfId="0" applyNumberFormat="1" applyFont="1" applyFill="1" applyBorder="1" applyAlignment="1" applyProtection="1">
      <alignment wrapText="1"/>
      <protection hidden="1"/>
    </xf>
    <xf numFmtId="0" fontId="3" fillId="3" borderId="2" xfId="0" applyFont="1" applyFill="1" applyBorder="1" applyAlignment="1" applyProtection="1">
      <alignment vertical="center" wrapText="1"/>
      <protection hidden="1"/>
    </xf>
    <xf numFmtId="0" fontId="4" fillId="2" borderId="3" xfId="0" applyFont="1" applyFill="1" applyBorder="1" applyAlignment="1" applyProtection="1">
      <alignment vertical="center" wrapText="1"/>
      <protection hidden="1"/>
    </xf>
    <xf numFmtId="0" fontId="4" fillId="2" borderId="4" xfId="0" applyFont="1" applyFill="1" applyBorder="1" applyAlignment="1" applyProtection="1">
      <alignment vertical="center" wrapText="1"/>
      <protection hidden="1"/>
    </xf>
    <xf numFmtId="0" fontId="3" fillId="3" borderId="5" xfId="0" applyFont="1" applyFill="1" applyBorder="1" applyAlignment="1" applyProtection="1">
      <alignment vertical="center" wrapText="1"/>
      <protection hidden="1"/>
    </xf>
    <xf numFmtId="0" fontId="3" fillId="3" borderId="1" xfId="0" applyFont="1" applyFill="1" applyBorder="1" applyAlignment="1" applyProtection="1">
      <alignment vertical="center" wrapText="1"/>
      <protection hidden="1"/>
    </xf>
    <xf numFmtId="0" fontId="4" fillId="2" borderId="1" xfId="0" applyFont="1" applyFill="1" applyBorder="1" applyAlignment="1" applyProtection="1">
      <alignment vertical="center" wrapText="1"/>
      <protection hidden="1"/>
    </xf>
    <xf numFmtId="0" fontId="4" fillId="3" borderId="1" xfId="0" applyFont="1" applyFill="1" applyBorder="1" applyAlignment="1" applyProtection="1">
      <alignment vertical="center" wrapText="1"/>
      <protection hidden="1"/>
    </xf>
    <xf numFmtId="0" fontId="3" fillId="3" borderId="6" xfId="0" applyFont="1" applyFill="1" applyBorder="1" applyAlignment="1" applyProtection="1">
      <alignment vertical="center" wrapText="1"/>
      <protection hidden="1"/>
    </xf>
    <xf numFmtId="0" fontId="4" fillId="3" borderId="6" xfId="0" applyFont="1" applyFill="1" applyBorder="1" applyAlignment="1" applyProtection="1">
      <alignment vertical="center" wrapText="1"/>
      <protection hidden="1"/>
    </xf>
    <xf numFmtId="0" fontId="4" fillId="2" borderId="7" xfId="0" applyFont="1" applyFill="1" applyBorder="1" applyAlignment="1" applyProtection="1">
      <alignment vertical="center" wrapText="1"/>
      <protection hidden="1"/>
    </xf>
    <xf numFmtId="0" fontId="4" fillId="2" borderId="0" xfId="0" applyFont="1" applyFill="1" applyBorder="1" applyAlignment="1" applyProtection="1">
      <alignment vertical="center" wrapText="1"/>
      <protection hidden="1"/>
    </xf>
    <xf numFmtId="0" fontId="3" fillId="3" borderId="1" xfId="0" applyFont="1" applyFill="1" applyBorder="1" applyAlignment="1" applyProtection="1">
      <alignment horizontal="left" vertical="center" wrapText="1"/>
      <protection hidden="1"/>
    </xf>
    <xf numFmtId="0" fontId="4" fillId="3" borderId="3" xfId="0" applyFont="1" applyFill="1" applyBorder="1" applyAlignment="1" applyProtection="1">
      <alignment vertical="center" wrapText="1"/>
      <protection hidden="1"/>
    </xf>
    <xf numFmtId="0" fontId="5" fillId="4" borderId="2" xfId="0" applyFont="1" applyFill="1" applyBorder="1" applyAlignment="1" applyProtection="1">
      <alignment vertical="center" wrapText="1"/>
      <protection hidden="1"/>
    </xf>
    <xf numFmtId="0" fontId="5" fillId="4" borderId="3" xfId="0" applyFont="1" applyFill="1" applyBorder="1" applyAlignment="1" applyProtection="1">
      <alignment vertical="center" wrapText="1"/>
      <protection hidden="1"/>
    </xf>
    <xf numFmtId="166" fontId="4" fillId="3" borderId="1" xfId="0" applyNumberFormat="1" applyFont="1" applyFill="1" applyBorder="1" applyAlignment="1" applyProtection="1">
      <alignment horizontal="center" vertical="center" wrapText="1"/>
      <protection hidden="1"/>
    </xf>
    <xf numFmtId="0" fontId="3" fillId="3" borderId="3" xfId="0" applyFont="1" applyFill="1" applyBorder="1" applyAlignment="1" applyProtection="1">
      <alignment horizontal="left" vertical="center" wrapText="1"/>
      <protection hidden="1"/>
    </xf>
    <xf numFmtId="0" fontId="12" fillId="0" borderId="1" xfId="0" applyNumberFormat="1" applyFont="1" applyBorder="1" applyAlignment="1">
      <alignment textRotation="60"/>
    </xf>
    <xf numFmtId="0" fontId="3" fillId="3" borderId="9" xfId="0" applyFont="1" applyFill="1" applyBorder="1" applyAlignment="1" applyProtection="1">
      <alignment horizontal="left" vertical="center" wrapText="1"/>
      <protection hidden="1"/>
    </xf>
    <xf numFmtId="0" fontId="5" fillId="4" borderId="9" xfId="0" applyFont="1" applyFill="1" applyBorder="1" applyAlignment="1" applyProtection="1">
      <alignment vertical="center" wrapText="1"/>
      <protection hidden="1"/>
    </xf>
    <xf numFmtId="0" fontId="5" fillId="4" borderId="1" xfId="0" applyFont="1" applyFill="1" applyBorder="1" applyAlignment="1" applyProtection="1">
      <alignment horizontal="left" vertical="center" wrapText="1"/>
      <protection hidden="1"/>
    </xf>
    <xf numFmtId="177" fontId="4" fillId="3" borderId="1" xfId="0" applyNumberFormat="1" applyFont="1" applyFill="1" applyBorder="1" applyAlignment="1" applyProtection="1">
      <alignment horizontal="left" vertical="center" wrapText="1"/>
      <protection hidden="1"/>
    </xf>
    <xf numFmtId="0" fontId="12" fillId="3" borderId="1" xfId="0" applyNumberFormat="1" applyFont="1" applyFill="1" applyBorder="1" applyAlignment="1">
      <alignment textRotation="60"/>
    </xf>
    <xf numFmtId="0" fontId="13" fillId="2" borderId="0" xfId="0" applyNumberFormat="1" applyFont="1" applyFill="1" applyBorder="1" applyAlignment="1">
      <alignment horizontal="left"/>
    </xf>
    <xf numFmtId="0" fontId="13" fillId="2" borderId="0" xfId="0" applyFont="1" applyFill="1" applyBorder="1" applyAlignment="1">
      <alignment horizontal="left"/>
    </xf>
    <xf numFmtId="0" fontId="11" fillId="3" borderId="1" xfId="0" applyNumberFormat="1" applyFont="1" applyFill="1" applyBorder="1"/>
    <xf numFmtId="0" fontId="2" fillId="2" borderId="10" xfId="0" applyFont="1" applyFill="1" applyBorder="1" applyAlignment="1">
      <alignment wrapText="1"/>
    </xf>
    <xf numFmtId="0" fontId="4" fillId="2" borderId="0" xfId="0" applyFont="1" applyFill="1" applyBorder="1" applyAlignment="1" applyProtection="1">
      <protection hidden="1"/>
    </xf>
    <xf numFmtId="185" fontId="6" fillId="3" borderId="1" xfId="0" applyNumberFormat="1" applyFont="1" applyFill="1" applyBorder="1" applyAlignment="1" applyProtection="1">
      <alignment horizontal="center" wrapText="1"/>
      <protection hidden="1"/>
    </xf>
    <xf numFmtId="0" fontId="4" fillId="0" borderId="0" xfId="0" applyFont="1" applyFill="1" applyBorder="1" applyAlignment="1" applyProtection="1">
      <alignment horizontal="left" wrapText="1"/>
      <protection hidden="1"/>
    </xf>
    <xf numFmtId="0" fontId="11" fillId="0" borderId="1" xfId="0" applyNumberFormat="1" applyFont="1" applyFill="1" applyBorder="1"/>
    <xf numFmtId="2" fontId="4" fillId="2" borderId="0" xfId="0" applyNumberFormat="1" applyFont="1" applyFill="1" applyBorder="1" applyAlignment="1" applyProtection="1">
      <alignment wrapText="1"/>
      <protection hidden="1"/>
    </xf>
    <xf numFmtId="0" fontId="4" fillId="2" borderId="1" xfId="0" applyFont="1" applyFill="1" applyBorder="1" applyAlignment="1" applyProtection="1">
      <alignment wrapText="1"/>
      <protection hidden="1"/>
    </xf>
    <xf numFmtId="177" fontId="3" fillId="3" borderId="1" xfId="0" applyNumberFormat="1" applyFont="1" applyFill="1" applyBorder="1" applyAlignment="1" applyProtection="1">
      <alignment horizontal="left" vertical="center" wrapText="1"/>
      <protection hidden="1"/>
    </xf>
    <xf numFmtId="177" fontId="4" fillId="3" borderId="1" xfId="0" applyNumberFormat="1" applyFont="1" applyFill="1" applyBorder="1" applyAlignment="1" applyProtection="1">
      <alignment horizontal="center" vertical="center" wrapText="1"/>
      <protection hidden="1"/>
    </xf>
    <xf numFmtId="180" fontId="4" fillId="3" borderId="1" xfId="0" applyNumberFormat="1" applyFont="1" applyFill="1" applyBorder="1" applyAlignment="1" applyProtection="1">
      <alignment horizontal="center" vertical="center" wrapText="1"/>
      <protection hidden="1"/>
    </xf>
    <xf numFmtId="0" fontId="20" fillId="4" borderId="1" xfId="0" applyFont="1" applyFill="1" applyBorder="1" applyAlignment="1" applyProtection="1">
      <alignment horizontal="left" vertical="center" wrapText="1"/>
      <protection hidden="1"/>
    </xf>
    <xf numFmtId="172" fontId="21" fillId="5" borderId="1" xfId="0" applyNumberFormat="1" applyFont="1" applyFill="1" applyBorder="1" applyAlignment="1">
      <alignment horizontal="center" wrapText="1"/>
    </xf>
    <xf numFmtId="172" fontId="4" fillId="5" borderId="1" xfId="0" applyNumberFormat="1" applyFont="1" applyFill="1" applyBorder="1" applyAlignment="1" applyProtection="1">
      <alignment horizontal="center" wrapText="1"/>
      <protection hidden="1"/>
    </xf>
    <xf numFmtId="172" fontId="4" fillId="3" borderId="8" xfId="0" applyNumberFormat="1" applyFont="1" applyFill="1" applyBorder="1" applyAlignment="1" applyProtection="1">
      <alignment horizontal="center" vertical="center" wrapText="1"/>
      <protection hidden="1"/>
    </xf>
    <xf numFmtId="172" fontId="4" fillId="3" borderId="7" xfId="0" applyNumberFormat="1" applyFont="1" applyFill="1" applyBorder="1" applyAlignment="1" applyProtection="1">
      <alignment horizontal="center" vertical="center" wrapText="1"/>
      <protection hidden="1"/>
    </xf>
    <xf numFmtId="1" fontId="3" fillId="3" borderId="2" xfId="0" applyNumberFormat="1" applyFont="1" applyFill="1" applyBorder="1" applyAlignment="1" applyProtection="1">
      <alignment horizontal="center" vertical="center" wrapText="1"/>
      <protection hidden="1"/>
    </xf>
    <xf numFmtId="0" fontId="4" fillId="2" borderId="0" xfId="0" applyFont="1" applyFill="1" applyBorder="1" applyAlignment="1" applyProtection="1">
      <alignment horizontal="right" wrapText="1"/>
      <protection hidden="1"/>
    </xf>
    <xf numFmtId="0" fontId="4" fillId="2" borderId="1" xfId="0" applyFont="1" applyFill="1" applyBorder="1" applyAlignment="1" applyProtection="1">
      <alignment horizontal="center" wrapText="1"/>
      <protection hidden="1"/>
    </xf>
    <xf numFmtId="0" fontId="5" fillId="4" borderId="2" xfId="0" applyFont="1" applyFill="1" applyBorder="1" applyAlignment="1" applyProtection="1">
      <alignment wrapText="1"/>
      <protection hidden="1"/>
    </xf>
    <xf numFmtId="0" fontId="5" fillId="4" borderId="3" xfId="0" applyFont="1" applyFill="1" applyBorder="1" applyAlignment="1" applyProtection="1">
      <alignment wrapText="1"/>
      <protection hidden="1"/>
    </xf>
    <xf numFmtId="0" fontId="4" fillId="3" borderId="1" xfId="0" applyNumberFormat="1" applyFont="1" applyFill="1" applyBorder="1" applyAlignment="1" applyProtection="1">
      <alignment horizontal="center" vertical="center" wrapText="1"/>
      <protection hidden="1"/>
    </xf>
    <xf numFmtId="183" fontId="4" fillId="3" borderId="2" xfId="0" applyNumberFormat="1" applyFont="1" applyFill="1" applyBorder="1" applyAlignment="1" applyProtection="1">
      <alignment horizontal="center" vertical="center" wrapText="1"/>
      <protection hidden="1"/>
    </xf>
    <xf numFmtId="0" fontId="3" fillId="3" borderId="2" xfId="0" applyFont="1" applyFill="1" applyBorder="1" applyAlignment="1" applyProtection="1">
      <alignment horizontal="left" vertical="center" wrapText="1"/>
      <protection hidden="1"/>
    </xf>
    <xf numFmtId="180" fontId="4" fillId="3" borderId="5" xfId="0" applyNumberFormat="1"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wrapText="1"/>
      <protection hidden="1"/>
    </xf>
    <xf numFmtId="0" fontId="9" fillId="2" borderId="0" xfId="0" applyFont="1" applyFill="1" applyBorder="1" applyAlignment="1" applyProtection="1">
      <alignment horizontal="left" wrapText="1"/>
      <protection hidden="1"/>
    </xf>
    <xf numFmtId="0" fontId="4" fillId="2" borderId="0" xfId="0" applyFont="1" applyFill="1" applyBorder="1" applyAlignment="1" applyProtection="1">
      <alignment horizontal="center" vertical="center" wrapText="1"/>
      <protection hidden="1"/>
    </xf>
    <xf numFmtId="0" fontId="3" fillId="3" borderId="0" xfId="0" applyFont="1" applyFill="1" applyBorder="1" applyAlignment="1" applyProtection="1">
      <alignment vertical="center" wrapText="1"/>
      <protection hidden="1"/>
    </xf>
    <xf numFmtId="174" fontId="12" fillId="2" borderId="1" xfId="0" applyNumberFormat="1" applyFont="1" applyFill="1" applyBorder="1" applyAlignment="1">
      <alignment horizontal="left" vertical="top" wrapText="1"/>
    </xf>
    <xf numFmtId="2" fontId="11" fillId="2" borderId="1" xfId="2" applyNumberFormat="1" applyFont="1" applyFill="1" applyBorder="1" applyAlignment="1">
      <alignment horizontal="left" vertical="top" wrapText="1"/>
    </xf>
    <xf numFmtId="0" fontId="12" fillId="0" borderId="1" xfId="0" applyNumberFormat="1" applyFont="1" applyBorder="1" applyAlignment="1">
      <alignment textRotation="90"/>
    </xf>
    <xf numFmtId="2" fontId="0" fillId="0" borderId="14" xfId="0" applyNumberFormat="1" applyBorder="1" applyAlignment="1">
      <alignment horizontal="center"/>
    </xf>
    <xf numFmtId="0" fontId="12" fillId="6" borderId="1" xfId="0" applyNumberFormat="1" applyFont="1" applyFill="1" applyBorder="1" applyAlignment="1">
      <alignment textRotation="90"/>
    </xf>
    <xf numFmtId="0" fontId="2" fillId="6" borderId="0" xfId="0" applyFont="1" applyFill="1" applyAlignment="1" applyProtection="1">
      <alignment wrapText="1"/>
      <protection hidden="1"/>
    </xf>
    <xf numFmtId="2" fontId="19" fillId="6" borderId="14" xfId="0" applyNumberFormat="1" applyFont="1" applyFill="1" applyBorder="1" applyAlignment="1">
      <alignment horizontal="center"/>
    </xf>
    <xf numFmtId="0" fontId="12" fillId="7" borderId="1" xfId="0" applyNumberFormat="1" applyFont="1" applyFill="1" applyBorder="1" applyAlignment="1">
      <alignment textRotation="90"/>
    </xf>
    <xf numFmtId="0" fontId="2" fillId="7" borderId="1" xfId="0" applyFont="1" applyFill="1" applyBorder="1" applyAlignment="1" applyProtection="1">
      <alignment wrapText="1"/>
      <protection hidden="1"/>
    </xf>
    <xf numFmtId="0" fontId="2" fillId="7" borderId="0" xfId="0" applyFont="1" applyFill="1" applyAlignment="1" applyProtection="1">
      <alignment wrapText="1"/>
      <protection hidden="1"/>
    </xf>
    <xf numFmtId="2" fontId="19" fillId="7" borderId="14" xfId="3" applyNumberFormat="1" applyFont="1" applyFill="1" applyBorder="1" applyAlignment="1">
      <alignment horizontal="center"/>
    </xf>
    <xf numFmtId="0" fontId="12" fillId="8" borderId="1" xfId="0" applyNumberFormat="1" applyFont="1" applyFill="1" applyBorder="1" applyAlignment="1">
      <alignment textRotation="90"/>
    </xf>
    <xf numFmtId="0" fontId="2" fillId="8" borderId="0" xfId="0" applyFont="1" applyFill="1" applyAlignment="1" applyProtection="1">
      <alignment wrapText="1"/>
      <protection hidden="1"/>
    </xf>
    <xf numFmtId="2" fontId="19" fillId="8" borderId="14" xfId="0" applyNumberFormat="1" applyFont="1" applyFill="1" applyBorder="1" applyAlignment="1">
      <alignment horizontal="center"/>
    </xf>
    <xf numFmtId="0" fontId="12" fillId="9" borderId="1" xfId="0" applyNumberFormat="1" applyFont="1" applyFill="1" applyBorder="1" applyAlignment="1">
      <alignment wrapText="1"/>
    </xf>
    <xf numFmtId="0" fontId="12" fillId="9" borderId="11" xfId="0" applyNumberFormat="1" applyFont="1" applyFill="1" applyBorder="1" applyAlignment="1">
      <alignment wrapText="1"/>
    </xf>
    <xf numFmtId="0" fontId="12" fillId="3" borderId="1" xfId="0" applyNumberFormat="1" applyFont="1" applyFill="1" applyBorder="1" applyAlignment="1">
      <alignment textRotation="90"/>
    </xf>
    <xf numFmtId="0" fontId="2" fillId="9" borderId="1" xfId="0" applyFont="1" applyFill="1" applyBorder="1" applyAlignment="1" applyProtection="1">
      <alignment wrapText="1"/>
      <protection hidden="1"/>
    </xf>
    <xf numFmtId="2" fontId="19" fillId="7" borderId="15" xfId="3" applyNumberFormat="1" applyFont="1" applyFill="1" applyBorder="1" applyAlignment="1">
      <alignment horizontal="center"/>
    </xf>
    <xf numFmtId="2" fontId="19" fillId="6" borderId="15" xfId="0" applyNumberFormat="1" applyFont="1" applyFill="1" applyBorder="1" applyAlignment="1">
      <alignment horizontal="center"/>
    </xf>
    <xf numFmtId="2" fontId="19" fillId="8" borderId="15" xfId="0" applyNumberFormat="1" applyFont="1" applyFill="1" applyBorder="1" applyAlignment="1">
      <alignment horizontal="center"/>
    </xf>
    <xf numFmtId="49" fontId="11" fillId="0" borderId="1" xfId="0" applyNumberFormat="1" applyFont="1" applyFill="1" applyBorder="1" applyAlignment="1">
      <alignment horizontal="right"/>
    </xf>
    <xf numFmtId="49" fontId="11" fillId="7" borderId="6" xfId="0" applyNumberFormat="1" applyFont="1" applyFill="1" applyBorder="1" applyAlignment="1" applyProtection="1">
      <alignment horizontal="right" wrapText="1"/>
      <protection hidden="1"/>
    </xf>
    <xf numFmtId="49" fontId="11" fillId="7" borderId="1" xfId="0" applyNumberFormat="1" applyFont="1" applyFill="1" applyBorder="1" applyAlignment="1" applyProtection="1">
      <alignment horizontal="right" wrapText="1"/>
      <protection hidden="1"/>
    </xf>
    <xf numFmtId="49" fontId="11" fillId="6" borderId="1" xfId="0" applyNumberFormat="1" applyFont="1" applyFill="1" applyBorder="1" applyAlignment="1" applyProtection="1">
      <alignment horizontal="right" wrapText="1"/>
      <protection hidden="1"/>
    </xf>
    <xf numFmtId="49" fontId="11" fillId="8" borderId="1" xfId="0" applyNumberFormat="1" applyFont="1" applyFill="1" applyBorder="1" applyAlignment="1" applyProtection="1">
      <alignment horizontal="right" wrapText="1"/>
      <protection hidden="1"/>
    </xf>
    <xf numFmtId="2" fontId="11" fillId="6" borderId="1" xfId="0" applyNumberFormat="1" applyFont="1" applyFill="1" applyBorder="1" applyAlignment="1" applyProtection="1">
      <alignment horizontal="right" wrapText="1"/>
      <protection hidden="1"/>
    </xf>
    <xf numFmtId="2" fontId="11" fillId="7" borderId="6" xfId="0" applyNumberFormat="1" applyFont="1" applyFill="1" applyBorder="1" applyAlignment="1" applyProtection="1">
      <alignment horizontal="right" wrapText="1"/>
      <protection hidden="1"/>
    </xf>
    <xf numFmtId="2" fontId="11" fillId="0" borderId="1" xfId="0" applyNumberFormat="1" applyFont="1" applyFill="1" applyBorder="1"/>
    <xf numFmtId="2" fontId="23" fillId="7" borderId="15" xfId="3" applyNumberFormat="1" applyFont="1" applyFill="1" applyBorder="1" applyAlignment="1">
      <alignment horizontal="right"/>
    </xf>
    <xf numFmtId="2" fontId="11" fillId="6" borderId="1" xfId="0" applyNumberFormat="1" applyFont="1" applyFill="1" applyBorder="1" applyAlignment="1" applyProtection="1">
      <alignment wrapText="1"/>
      <protection hidden="1"/>
    </xf>
    <xf numFmtId="0" fontId="11" fillId="9" borderId="1" xfId="0" applyFont="1" applyFill="1" applyBorder="1" applyAlignment="1" applyProtection="1">
      <alignment wrapText="1"/>
      <protection hidden="1"/>
    </xf>
    <xf numFmtId="0" fontId="11" fillId="2" borderId="0" xfId="0" applyFont="1" applyFill="1" applyBorder="1" applyAlignment="1" applyProtection="1">
      <alignment horizontal="left" wrapText="1"/>
      <protection hidden="1"/>
    </xf>
    <xf numFmtId="0" fontId="11" fillId="2" borderId="0" xfId="0" applyFont="1" applyFill="1" applyBorder="1" applyAlignment="1" applyProtection="1">
      <alignment wrapText="1"/>
      <protection hidden="1"/>
    </xf>
    <xf numFmtId="0" fontId="25" fillId="2" borderId="0" xfId="0" applyFont="1" applyFill="1" applyBorder="1" applyAlignment="1" applyProtection="1">
      <alignment vertical="center" wrapText="1"/>
      <protection hidden="1"/>
    </xf>
    <xf numFmtId="0" fontId="11" fillId="2" borderId="10" xfId="0" applyFont="1" applyFill="1" applyBorder="1" applyAlignment="1">
      <alignment wrapText="1"/>
    </xf>
    <xf numFmtId="0" fontId="11" fillId="2" borderId="0" xfId="0" applyFont="1" applyFill="1" applyBorder="1" applyAlignment="1">
      <alignment wrapText="1"/>
    </xf>
    <xf numFmtId="164" fontId="11" fillId="2" borderId="0" xfId="0" applyNumberFormat="1" applyFont="1" applyFill="1" applyBorder="1" applyAlignment="1" applyProtection="1">
      <alignment wrapText="1"/>
      <protection hidden="1"/>
    </xf>
    <xf numFmtId="0" fontId="12" fillId="3" borderId="2" xfId="0" applyFont="1" applyFill="1" applyBorder="1" applyAlignment="1" applyProtection="1">
      <alignment vertical="center" wrapText="1"/>
      <protection hidden="1"/>
    </xf>
    <xf numFmtId="0" fontId="11" fillId="2" borderId="3" xfId="0" applyFont="1" applyFill="1" applyBorder="1" applyAlignment="1" applyProtection="1">
      <alignment vertical="center" wrapText="1"/>
      <protection hidden="1"/>
    </xf>
    <xf numFmtId="175" fontId="11" fillId="2" borderId="0" xfId="0" applyNumberFormat="1" applyFont="1" applyFill="1" applyBorder="1" applyAlignment="1" applyProtection="1">
      <alignment wrapText="1"/>
      <protection hidden="1"/>
    </xf>
    <xf numFmtId="0" fontId="12" fillId="3" borderId="5" xfId="0" applyFont="1" applyFill="1" applyBorder="1" applyAlignment="1" applyProtection="1">
      <alignment vertical="center" wrapText="1"/>
      <protection hidden="1"/>
    </xf>
    <xf numFmtId="0" fontId="11" fillId="2" borderId="4" xfId="0" applyFont="1" applyFill="1" applyBorder="1" applyAlignment="1" applyProtection="1">
      <alignment vertical="center" wrapText="1"/>
      <protection hidden="1"/>
    </xf>
    <xf numFmtId="0" fontId="26" fillId="2" borderId="0" xfId="0" applyFont="1" applyFill="1" applyBorder="1" applyAlignment="1">
      <alignment horizontal="left"/>
    </xf>
    <xf numFmtId="0" fontId="26" fillId="2" borderId="0" xfId="0" applyFont="1" applyFill="1" applyBorder="1" applyAlignment="1">
      <alignment horizontal="left" wrapText="1"/>
    </xf>
    <xf numFmtId="0" fontId="12" fillId="3" borderId="1" xfId="0" applyFont="1" applyFill="1" applyBorder="1" applyAlignment="1" applyProtection="1">
      <alignment vertical="center" wrapText="1"/>
      <protection hidden="1"/>
    </xf>
    <xf numFmtId="0" fontId="11" fillId="2" borderId="1" xfId="0" applyFont="1" applyFill="1" applyBorder="1" applyAlignment="1" applyProtection="1">
      <alignment vertical="center" wrapText="1"/>
      <protection hidden="1"/>
    </xf>
    <xf numFmtId="167" fontId="12" fillId="2" borderId="0" xfId="0" applyNumberFormat="1" applyFont="1" applyFill="1" applyBorder="1" applyAlignment="1" applyProtection="1">
      <alignment vertical="center" wrapText="1"/>
      <protection hidden="1"/>
    </xf>
    <xf numFmtId="0" fontId="17" fillId="2" borderId="0" xfId="0" applyFont="1" applyFill="1" applyBorder="1" applyAlignment="1" applyProtection="1">
      <alignment wrapText="1"/>
      <protection hidden="1"/>
    </xf>
    <xf numFmtId="0" fontId="11" fillId="3" borderId="1" xfId="0" applyFont="1" applyFill="1" applyBorder="1" applyAlignment="1" applyProtection="1">
      <alignment vertical="center" wrapText="1"/>
      <protection hidden="1"/>
    </xf>
    <xf numFmtId="0" fontId="11" fillId="2" borderId="0" xfId="0" applyFont="1" applyFill="1" applyBorder="1" applyAlignment="1" applyProtection="1">
      <protection hidden="1"/>
    </xf>
    <xf numFmtId="0" fontId="29" fillId="2" borderId="0" xfId="0" applyFont="1" applyFill="1" applyBorder="1" applyAlignment="1">
      <alignment wrapText="1"/>
    </xf>
    <xf numFmtId="0" fontId="12" fillId="3" borderId="6" xfId="0" applyFont="1" applyFill="1" applyBorder="1" applyAlignment="1" applyProtection="1">
      <alignment vertical="center" wrapText="1"/>
      <protection hidden="1"/>
    </xf>
    <xf numFmtId="0" fontId="11" fillId="3" borderId="6" xfId="0" applyFont="1" applyFill="1" applyBorder="1" applyAlignment="1" applyProtection="1">
      <alignment vertical="center" wrapText="1"/>
      <protection hidden="1"/>
    </xf>
    <xf numFmtId="0" fontId="12" fillId="3" borderId="9" xfId="0" applyFont="1" applyFill="1" applyBorder="1" applyAlignment="1" applyProtection="1">
      <alignment horizontal="left" vertical="center" wrapText="1"/>
      <protection hidden="1"/>
    </xf>
    <xf numFmtId="0" fontId="11" fillId="2" borderId="7" xfId="0" applyFont="1" applyFill="1" applyBorder="1" applyAlignment="1" applyProtection="1">
      <alignment vertical="center" wrapText="1"/>
      <protection hidden="1"/>
    </xf>
    <xf numFmtId="0" fontId="29" fillId="2" borderId="0" xfId="0" applyFont="1" applyFill="1" applyBorder="1" applyAlignment="1" applyProtection="1">
      <alignment horizontal="left" wrapText="1"/>
      <protection hidden="1"/>
    </xf>
    <xf numFmtId="0" fontId="11" fillId="2" borderId="0" xfId="0" applyFont="1" applyFill="1" applyBorder="1" applyAlignment="1" applyProtection="1">
      <alignment vertical="center" wrapText="1"/>
      <protection hidden="1"/>
    </xf>
    <xf numFmtId="0" fontId="17" fillId="4" borderId="9" xfId="0" applyFont="1" applyFill="1" applyBorder="1" applyAlignment="1" applyProtection="1">
      <alignment vertical="center" wrapText="1"/>
      <protection hidden="1"/>
    </xf>
    <xf numFmtId="0" fontId="17" fillId="4" borderId="1" xfId="0" applyFont="1" applyFill="1" applyBorder="1" applyAlignment="1" applyProtection="1">
      <alignment horizontal="left" vertical="center" wrapText="1"/>
      <protection hidden="1"/>
    </xf>
    <xf numFmtId="0" fontId="12" fillId="3" borderId="1" xfId="0" applyFont="1" applyFill="1" applyBorder="1" applyAlignment="1" applyProtection="1">
      <alignment horizontal="left" vertical="center" wrapText="1"/>
      <protection hidden="1"/>
    </xf>
    <xf numFmtId="180" fontId="11" fillId="3" borderId="5" xfId="0" applyNumberFormat="1" applyFont="1" applyFill="1" applyBorder="1" applyAlignment="1" applyProtection="1">
      <alignment horizontal="center" vertical="center" wrapText="1"/>
      <protection hidden="1"/>
    </xf>
    <xf numFmtId="177" fontId="11" fillId="3" borderId="1" xfId="0" applyNumberFormat="1" applyFont="1" applyFill="1" applyBorder="1" applyAlignment="1" applyProtection="1">
      <alignment horizontal="center" vertical="center" wrapText="1"/>
      <protection hidden="1"/>
    </xf>
    <xf numFmtId="0" fontId="11" fillId="2" borderId="1" xfId="0" applyFont="1" applyFill="1" applyBorder="1" applyAlignment="1" applyProtection="1">
      <alignment wrapText="1"/>
      <protection hidden="1"/>
    </xf>
    <xf numFmtId="0" fontId="11" fillId="2" borderId="1" xfId="0" applyFont="1" applyFill="1" applyBorder="1" applyAlignment="1" applyProtection="1">
      <alignment horizontal="center" wrapText="1"/>
      <protection hidden="1"/>
    </xf>
    <xf numFmtId="180" fontId="11" fillId="3" borderId="1" xfId="0" applyNumberFormat="1"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wrapText="1"/>
      <protection hidden="1"/>
    </xf>
    <xf numFmtId="177" fontId="11" fillId="3" borderId="1" xfId="0" applyNumberFormat="1" applyFont="1" applyFill="1" applyBorder="1" applyAlignment="1" applyProtection="1">
      <alignment horizontal="left" vertical="center" wrapText="1"/>
      <protection hidden="1"/>
    </xf>
    <xf numFmtId="172" fontId="11" fillId="5" borderId="1" xfId="0" applyNumberFormat="1" applyFont="1" applyFill="1" applyBorder="1" applyAlignment="1" applyProtection="1">
      <alignment horizontal="center" wrapText="1"/>
      <protection hidden="1"/>
    </xf>
    <xf numFmtId="0" fontId="30" fillId="4" borderId="1" xfId="0" applyFont="1" applyFill="1" applyBorder="1" applyAlignment="1" applyProtection="1">
      <alignment horizontal="left" vertical="center" wrapText="1"/>
      <protection hidden="1"/>
    </xf>
    <xf numFmtId="177" fontId="12" fillId="3" borderId="1" xfId="0" applyNumberFormat="1" applyFont="1" applyFill="1" applyBorder="1" applyAlignment="1" applyProtection="1">
      <alignment horizontal="left" vertical="center" wrapText="1"/>
      <protection hidden="1"/>
    </xf>
    <xf numFmtId="0" fontId="26" fillId="2" borderId="0" xfId="0" applyNumberFormat="1" applyFont="1" applyFill="1" applyBorder="1" applyAlignment="1">
      <alignment horizontal="left"/>
    </xf>
    <xf numFmtId="0" fontId="11" fillId="3" borderId="1" xfId="0" applyNumberFormat="1" applyFont="1" applyFill="1" applyBorder="1" applyAlignment="1" applyProtection="1">
      <alignment horizontal="center" vertical="center" wrapText="1"/>
      <protection hidden="1"/>
    </xf>
    <xf numFmtId="0" fontId="12" fillId="3" borderId="2" xfId="0" applyFont="1" applyFill="1" applyBorder="1" applyAlignment="1" applyProtection="1">
      <alignment horizontal="left" vertical="center" wrapText="1"/>
      <protection hidden="1"/>
    </xf>
    <xf numFmtId="0" fontId="12" fillId="3" borderId="3" xfId="0" applyFont="1" applyFill="1" applyBorder="1" applyAlignment="1" applyProtection="1">
      <alignment horizontal="left" vertical="center" wrapText="1"/>
      <protection hidden="1"/>
    </xf>
    <xf numFmtId="0" fontId="11" fillId="3" borderId="3" xfId="0" applyFont="1" applyFill="1" applyBorder="1" applyAlignment="1" applyProtection="1">
      <alignment vertical="center" wrapText="1"/>
      <protection hidden="1"/>
    </xf>
    <xf numFmtId="1" fontId="12" fillId="3" borderId="2" xfId="0" applyNumberFormat="1" applyFont="1" applyFill="1" applyBorder="1" applyAlignment="1" applyProtection="1">
      <alignment horizontal="center" vertical="center" wrapText="1"/>
      <protection hidden="1"/>
    </xf>
    <xf numFmtId="172" fontId="11" fillId="3" borderId="7" xfId="0" applyNumberFormat="1" applyFont="1" applyFill="1" applyBorder="1" applyAlignment="1" applyProtection="1">
      <alignment horizontal="center" vertical="center" wrapText="1"/>
      <protection hidden="1"/>
    </xf>
    <xf numFmtId="172" fontId="11" fillId="3" borderId="8" xfId="0" applyNumberFormat="1"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wrapText="1"/>
      <protection hidden="1"/>
    </xf>
    <xf numFmtId="0" fontId="17" fillId="4" borderId="2" xfId="0" applyFont="1" applyFill="1" applyBorder="1" applyAlignment="1" applyProtection="1">
      <alignment vertical="center" wrapText="1"/>
      <protection hidden="1"/>
    </xf>
    <xf numFmtId="0" fontId="17" fillId="4" borderId="3" xfId="0" applyFont="1" applyFill="1" applyBorder="1" applyAlignment="1" applyProtection="1">
      <alignment vertical="center" wrapText="1"/>
      <protection hidden="1"/>
    </xf>
    <xf numFmtId="166" fontId="11" fillId="3" borderId="1" xfId="0" applyNumberFormat="1" applyFont="1" applyFill="1" applyBorder="1" applyAlignment="1" applyProtection="1">
      <alignment horizontal="center" vertical="center" wrapText="1"/>
      <protection hidden="1"/>
    </xf>
    <xf numFmtId="0" fontId="11" fillId="0" borderId="0" xfId="0" applyFont="1" applyFill="1" applyBorder="1" applyAlignment="1" applyProtection="1">
      <alignment horizontal="left" wrapText="1"/>
      <protection hidden="1"/>
    </xf>
    <xf numFmtId="2" fontId="11" fillId="2" borderId="0" xfId="0" applyNumberFormat="1" applyFont="1" applyFill="1" applyBorder="1" applyAlignment="1" applyProtection="1">
      <alignment wrapText="1"/>
      <protection hidden="1"/>
    </xf>
    <xf numFmtId="0" fontId="17" fillId="4" borderId="2" xfId="0" applyFont="1" applyFill="1" applyBorder="1" applyAlignment="1" applyProtection="1">
      <alignment wrapText="1"/>
      <protection hidden="1"/>
    </xf>
    <xf numFmtId="0" fontId="17" fillId="4" borderId="3" xfId="0" applyFont="1" applyFill="1" applyBorder="1" applyAlignment="1" applyProtection="1">
      <alignment wrapText="1"/>
      <protection hidden="1"/>
    </xf>
    <xf numFmtId="0" fontId="11" fillId="2" borderId="0" xfId="0" applyFont="1" applyFill="1" applyBorder="1" applyAlignment="1" applyProtection="1">
      <alignment horizontal="center" wrapText="1"/>
      <protection hidden="1"/>
    </xf>
    <xf numFmtId="0" fontId="12" fillId="3" borderId="1" xfId="0" applyFont="1" applyFill="1" applyBorder="1" applyAlignment="1" applyProtection="1">
      <alignment horizontal="left" wrapText="1"/>
      <protection hidden="1"/>
    </xf>
    <xf numFmtId="185" fontId="25" fillId="3" borderId="1" xfId="0" applyNumberFormat="1" applyFont="1" applyFill="1" applyBorder="1" applyAlignment="1" applyProtection="1">
      <alignment horizontal="center" wrapText="1"/>
      <protection hidden="1"/>
    </xf>
    <xf numFmtId="170" fontId="11" fillId="2" borderId="0" xfId="0" applyNumberFormat="1" applyFont="1" applyFill="1" applyBorder="1" applyAlignment="1" applyProtection="1">
      <alignment vertical="center" wrapText="1"/>
      <protection hidden="1"/>
    </xf>
    <xf numFmtId="0" fontId="12" fillId="2" borderId="0" xfId="0" applyFont="1" applyFill="1" applyBorder="1" applyAlignment="1" applyProtection="1">
      <alignment horizontal="left" wrapText="1"/>
      <protection hidden="1"/>
    </xf>
    <xf numFmtId="164" fontId="12" fillId="2" borderId="0" xfId="0" applyNumberFormat="1" applyFont="1" applyFill="1" applyBorder="1" applyAlignment="1" applyProtection="1">
      <alignment wrapText="1"/>
      <protection hidden="1"/>
    </xf>
    <xf numFmtId="0" fontId="11" fillId="0" borderId="0" xfId="0" applyFont="1" applyAlignment="1">
      <alignment wrapText="1"/>
    </xf>
    <xf numFmtId="0" fontId="11" fillId="2" borderId="0" xfId="0" applyFont="1" applyFill="1" applyAlignment="1" applyProtection="1">
      <alignment wrapText="1"/>
      <protection hidden="1"/>
    </xf>
    <xf numFmtId="0" fontId="11" fillId="0" borderId="0" xfId="0" applyFont="1" applyAlignment="1" applyProtection="1">
      <alignment wrapText="1"/>
      <protection hidden="1"/>
    </xf>
    <xf numFmtId="183" fontId="11" fillId="3" borderId="2" xfId="0" applyNumberFormat="1" applyFont="1" applyFill="1" applyBorder="1" applyAlignment="1" applyProtection="1">
      <alignment horizontal="center" vertical="center" wrapText="1"/>
      <protection hidden="1"/>
    </xf>
    <xf numFmtId="0" fontId="11" fillId="2" borderId="0" xfId="0" applyFont="1" applyFill="1" applyBorder="1" applyAlignment="1" applyProtection="1">
      <alignment horizontal="left" wrapText="1"/>
      <protection hidden="1"/>
    </xf>
    <xf numFmtId="0" fontId="36" fillId="2" borderId="0" xfId="0" applyFont="1" applyFill="1" applyBorder="1" applyAlignment="1" applyProtection="1">
      <alignment vertical="center" wrapText="1"/>
      <protection hidden="1"/>
    </xf>
    <xf numFmtId="0" fontId="12" fillId="4" borderId="1" xfId="0" applyFont="1" applyFill="1" applyBorder="1" applyAlignment="1" applyProtection="1">
      <alignment horizontal="left" vertical="center" wrapText="1"/>
      <protection hidden="1"/>
    </xf>
    <xf numFmtId="172" fontId="37" fillId="5" borderId="1" xfId="0" applyNumberFormat="1" applyFont="1" applyFill="1" applyBorder="1" applyAlignment="1">
      <alignment horizontal="center" wrapText="1"/>
    </xf>
    <xf numFmtId="0" fontId="34" fillId="0" borderId="0" xfId="0" applyFont="1" applyFill="1" applyBorder="1" applyAlignment="1" applyProtection="1">
      <alignment vertical="center" wrapText="1"/>
      <protection hidden="1"/>
    </xf>
    <xf numFmtId="0" fontId="35"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left" vertical="center" wrapText="1"/>
      <protection hidden="1"/>
    </xf>
    <xf numFmtId="0" fontId="34" fillId="0" borderId="6" xfId="0" applyFont="1" applyFill="1" applyBorder="1" applyAlignment="1" applyProtection="1">
      <alignment horizontal="left" vertical="center" wrapText="1"/>
      <protection hidden="1"/>
    </xf>
    <xf numFmtId="0" fontId="35" fillId="0" borderId="0" xfId="0" applyFont="1" applyFill="1" applyBorder="1" applyAlignment="1" applyProtection="1">
      <alignment horizontal="center" vertical="center" wrapText="1"/>
      <protection hidden="1"/>
    </xf>
    <xf numFmtId="0" fontId="34" fillId="0" borderId="1" xfId="0" applyFont="1" applyFill="1" applyBorder="1" applyAlignment="1" applyProtection="1">
      <alignment horizontal="left" vertical="center" wrapText="1"/>
      <protection hidden="1"/>
    </xf>
    <xf numFmtId="178" fontId="35" fillId="0" borderId="0" xfId="0" applyNumberFormat="1" applyFont="1" applyFill="1" applyBorder="1" applyAlignment="1" applyProtection="1">
      <alignment horizontal="center" vertical="center" wrapText="1"/>
      <protection hidden="1"/>
    </xf>
    <xf numFmtId="171" fontId="11" fillId="3" borderId="2" xfId="0" applyNumberFormat="1" applyFont="1" applyFill="1" applyBorder="1" applyAlignment="1" applyProtection="1">
      <alignment horizontal="center" vertical="center" wrapText="1"/>
      <protection hidden="1"/>
    </xf>
    <xf numFmtId="171" fontId="11" fillId="3" borderId="3" xfId="0" applyNumberFormat="1" applyFont="1" applyFill="1" applyBorder="1" applyAlignment="1" applyProtection="1">
      <alignment horizontal="center" vertical="center" wrapText="1"/>
      <protection hidden="1"/>
    </xf>
    <xf numFmtId="171" fontId="11" fillId="3" borderId="11"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wrapText="1"/>
      <protection hidden="1"/>
    </xf>
    <xf numFmtId="176" fontId="11" fillId="3" borderId="2" xfId="0" applyNumberFormat="1" applyFont="1" applyFill="1" applyBorder="1" applyAlignment="1" applyProtection="1">
      <alignment horizontal="center" vertical="center" wrapText="1"/>
      <protection hidden="1"/>
    </xf>
    <xf numFmtId="176" fontId="11" fillId="3" borderId="3" xfId="0" applyNumberFormat="1" applyFont="1" applyFill="1" applyBorder="1" applyAlignment="1" applyProtection="1">
      <alignment horizontal="center" vertical="center" wrapText="1"/>
      <protection hidden="1"/>
    </xf>
    <xf numFmtId="181" fontId="11" fillId="3" borderId="3" xfId="0" applyNumberFormat="1" applyFont="1" applyFill="1" applyBorder="1" applyAlignment="1" applyProtection="1">
      <alignment horizontal="center" vertical="center" wrapText="1"/>
      <protection hidden="1"/>
    </xf>
    <xf numFmtId="181" fontId="11" fillId="3" borderId="11" xfId="0" applyNumberFormat="1" applyFont="1" applyFill="1" applyBorder="1" applyAlignment="1" applyProtection="1">
      <alignment horizontal="center" vertical="center" wrapText="1"/>
      <protection hidden="1"/>
    </xf>
    <xf numFmtId="171" fontId="11" fillId="3" borderId="1" xfId="0" applyNumberFormat="1" applyFont="1" applyFill="1" applyBorder="1" applyAlignment="1" applyProtection="1">
      <alignment horizontal="center" vertical="center" wrapText="1"/>
      <protection hidden="1"/>
    </xf>
    <xf numFmtId="0" fontId="17" fillId="4" borderId="5" xfId="0" applyFont="1" applyFill="1" applyBorder="1" applyAlignment="1" applyProtection="1">
      <alignment horizontal="center" vertical="center" wrapText="1"/>
      <protection hidden="1"/>
    </xf>
    <xf numFmtId="0" fontId="17" fillId="4" borderId="4" xfId="0" applyFont="1" applyFill="1" applyBorder="1" applyAlignment="1" applyProtection="1">
      <alignment horizontal="center" vertical="center" wrapText="1"/>
      <protection hidden="1"/>
    </xf>
    <xf numFmtId="0" fontId="17" fillId="4" borderId="12"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wrapText="1"/>
      <protection hidden="1"/>
    </xf>
    <xf numFmtId="182" fontId="11" fillId="3" borderId="5" xfId="0" applyNumberFormat="1" applyFont="1" applyFill="1" applyBorder="1" applyAlignment="1" applyProtection="1">
      <alignment horizontal="center" vertical="center" wrapText="1"/>
      <protection hidden="1"/>
    </xf>
    <xf numFmtId="182" fontId="11" fillId="3" borderId="4" xfId="0" applyNumberFormat="1" applyFont="1" applyFill="1" applyBorder="1" applyAlignment="1" applyProtection="1">
      <alignment horizontal="center" vertical="center" wrapText="1"/>
      <protection hidden="1"/>
    </xf>
    <xf numFmtId="182" fontId="11" fillId="3" borderId="12" xfId="0" applyNumberFormat="1" applyFont="1" applyFill="1" applyBorder="1" applyAlignment="1" applyProtection="1">
      <alignment horizontal="center" vertical="center" wrapText="1"/>
      <protection hidden="1"/>
    </xf>
    <xf numFmtId="0" fontId="31" fillId="2" borderId="3" xfId="0" applyFont="1" applyFill="1" applyBorder="1" applyAlignment="1" applyProtection="1">
      <alignment horizontal="center" vertical="center" wrapText="1"/>
      <protection hidden="1"/>
    </xf>
    <xf numFmtId="183" fontId="11" fillId="3" borderId="2" xfId="0" applyNumberFormat="1" applyFont="1" applyFill="1" applyBorder="1" applyAlignment="1" applyProtection="1">
      <alignment horizontal="center" vertical="center" wrapText="1"/>
      <protection hidden="1"/>
    </xf>
    <xf numFmtId="183" fontId="11" fillId="3" borderId="11" xfId="0" applyNumberFormat="1" applyFont="1" applyFill="1" applyBorder="1" applyAlignment="1" applyProtection="1">
      <alignment horizontal="center" vertical="center" wrapText="1"/>
      <protection hidden="1"/>
    </xf>
    <xf numFmtId="165" fontId="12" fillId="3" borderId="3" xfId="0" applyNumberFormat="1" applyFont="1" applyFill="1" applyBorder="1" applyAlignment="1" applyProtection="1">
      <alignment horizontal="left" vertical="center" wrapText="1"/>
      <protection hidden="1"/>
    </xf>
    <xf numFmtId="165" fontId="12" fillId="3" borderId="11" xfId="0" applyNumberFormat="1" applyFont="1" applyFill="1" applyBorder="1" applyAlignment="1" applyProtection="1">
      <alignment horizontal="left" vertical="center" wrapText="1"/>
      <protection hidden="1"/>
    </xf>
    <xf numFmtId="164" fontId="11" fillId="2" borderId="2" xfId="0" applyNumberFormat="1" applyFont="1" applyFill="1" applyBorder="1" applyAlignment="1" applyProtection="1">
      <alignment horizontal="center" vertical="center" wrapText="1"/>
      <protection locked="0" hidden="1"/>
    </xf>
    <xf numFmtId="164" fontId="11" fillId="2" borderId="3" xfId="0" applyNumberFormat="1" applyFont="1" applyFill="1" applyBorder="1" applyAlignment="1" applyProtection="1">
      <alignment horizontal="center" vertical="center" wrapText="1"/>
      <protection locked="0" hidden="1"/>
    </xf>
    <xf numFmtId="164" fontId="11" fillId="2" borderId="11" xfId="0" applyNumberFormat="1" applyFont="1" applyFill="1" applyBorder="1" applyAlignment="1" applyProtection="1">
      <alignment horizontal="center" vertical="center" wrapText="1"/>
      <protection locked="0" hidden="1"/>
    </xf>
    <xf numFmtId="179" fontId="11" fillId="2" borderId="2" xfId="0" applyNumberFormat="1" applyFont="1" applyFill="1" applyBorder="1" applyAlignment="1" applyProtection="1">
      <alignment horizontal="center" vertical="center" wrapText="1"/>
      <protection locked="0" hidden="1"/>
    </xf>
    <xf numFmtId="179" fontId="11" fillId="2" borderId="3" xfId="0" applyNumberFormat="1" applyFont="1" applyFill="1" applyBorder="1" applyAlignment="1" applyProtection="1">
      <alignment horizontal="center" vertical="center" wrapText="1"/>
      <protection locked="0" hidden="1"/>
    </xf>
    <xf numFmtId="179" fontId="11" fillId="2" borderId="11" xfId="0" applyNumberFormat="1" applyFont="1" applyFill="1" applyBorder="1" applyAlignment="1" applyProtection="1">
      <alignment horizontal="center" vertical="center" wrapText="1"/>
      <protection locked="0" hidden="1"/>
    </xf>
    <xf numFmtId="0" fontId="12" fillId="2" borderId="3" xfId="0" applyFont="1" applyFill="1" applyBorder="1" applyAlignment="1" applyProtection="1">
      <alignment horizontal="center" vertical="center" wrapText="1"/>
      <protection hidden="1"/>
    </xf>
    <xf numFmtId="0" fontId="17" fillId="4" borderId="2" xfId="0" applyFont="1" applyFill="1" applyBorder="1" applyAlignment="1" applyProtection="1">
      <alignment horizontal="center" vertical="center" wrapText="1"/>
      <protection hidden="1"/>
    </xf>
    <xf numFmtId="0" fontId="17" fillId="4" borderId="11"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178" fontId="12" fillId="3" borderId="5" xfId="0" applyNumberFormat="1" applyFont="1" applyFill="1" applyBorder="1" applyAlignment="1" applyProtection="1">
      <alignment horizontal="center" vertical="center" wrapText="1"/>
      <protection hidden="1"/>
    </xf>
    <xf numFmtId="178" fontId="12" fillId="3" borderId="4" xfId="0" applyNumberFormat="1" applyFont="1" applyFill="1" applyBorder="1" applyAlignment="1" applyProtection="1">
      <alignment horizontal="center" vertical="center" wrapText="1"/>
      <protection hidden="1"/>
    </xf>
    <xf numFmtId="178" fontId="12" fillId="3" borderId="12" xfId="0" applyNumberFormat="1" applyFont="1" applyFill="1" applyBorder="1" applyAlignment="1" applyProtection="1">
      <alignment horizontal="center" vertical="center" wrapText="1"/>
      <protection hidden="1"/>
    </xf>
    <xf numFmtId="174" fontId="11" fillId="2" borderId="2" xfId="0" applyNumberFormat="1" applyFont="1" applyFill="1" applyBorder="1" applyAlignment="1" applyProtection="1">
      <alignment horizontal="center" vertical="center" wrapText="1"/>
      <protection locked="0" hidden="1"/>
    </xf>
    <xf numFmtId="174" fontId="11" fillId="2" borderId="3" xfId="0" applyNumberFormat="1" applyFont="1" applyFill="1" applyBorder="1" applyAlignment="1" applyProtection="1">
      <alignment horizontal="center" vertical="center" wrapText="1"/>
      <protection locked="0" hidden="1"/>
    </xf>
    <xf numFmtId="174" fontId="11" fillId="2" borderId="11" xfId="0" applyNumberFormat="1" applyFont="1" applyFill="1" applyBorder="1" applyAlignment="1" applyProtection="1">
      <alignment horizontal="center" vertical="center" wrapText="1"/>
      <protection locked="0" hidden="1"/>
    </xf>
    <xf numFmtId="180" fontId="12" fillId="3" borderId="2" xfId="0" applyNumberFormat="1" applyFont="1" applyFill="1" applyBorder="1" applyAlignment="1" applyProtection="1">
      <alignment horizontal="center" vertical="center" wrapText="1"/>
      <protection hidden="1"/>
    </xf>
    <xf numFmtId="180" fontId="12" fillId="3" borderId="3" xfId="0" applyNumberFormat="1" applyFont="1" applyFill="1" applyBorder="1" applyAlignment="1" applyProtection="1">
      <alignment horizontal="center" vertical="center" wrapText="1"/>
      <protection hidden="1"/>
    </xf>
    <xf numFmtId="180" fontId="12" fillId="3" borderId="11" xfId="0" applyNumberFormat="1" applyFont="1" applyFill="1" applyBorder="1" applyAlignment="1" applyProtection="1">
      <alignment horizontal="center" vertical="center" wrapText="1"/>
      <protection hidden="1"/>
    </xf>
    <xf numFmtId="0" fontId="29" fillId="2" borderId="0" xfId="0" applyFont="1" applyFill="1" applyBorder="1" applyAlignment="1" applyProtection="1">
      <alignment horizontal="left" wrapText="1"/>
      <protection hidden="1"/>
    </xf>
    <xf numFmtId="0" fontId="15" fillId="2" borderId="0" xfId="0" applyFont="1" applyFill="1" applyBorder="1" applyAlignment="1" applyProtection="1">
      <alignment horizontal="left" vertical="center" wrapText="1"/>
      <protection hidden="1"/>
    </xf>
    <xf numFmtId="173" fontId="11" fillId="2" borderId="2" xfId="0" applyNumberFormat="1" applyFont="1" applyFill="1" applyBorder="1" applyAlignment="1" applyProtection="1">
      <alignment horizontal="center" vertical="center" wrapText="1"/>
      <protection locked="0" hidden="1"/>
    </xf>
    <xf numFmtId="173" fontId="11" fillId="2" borderId="3" xfId="0" applyNumberFormat="1" applyFont="1" applyFill="1" applyBorder="1" applyAlignment="1" applyProtection="1">
      <alignment horizontal="center" vertical="center" wrapText="1"/>
      <protection locked="0" hidden="1"/>
    </xf>
    <xf numFmtId="173" fontId="11" fillId="2" borderId="11" xfId="0" applyNumberFormat="1" applyFont="1" applyFill="1" applyBorder="1" applyAlignment="1" applyProtection="1">
      <alignment horizontal="center" vertical="center" wrapText="1"/>
      <protection locked="0" hidden="1"/>
    </xf>
    <xf numFmtId="168" fontId="11" fillId="2" borderId="2" xfId="0" applyNumberFormat="1" applyFont="1" applyFill="1" applyBorder="1" applyAlignment="1" applyProtection="1">
      <alignment horizontal="center" vertical="center" wrapText="1"/>
      <protection locked="0" hidden="1"/>
    </xf>
    <xf numFmtId="168" fontId="11" fillId="2" borderId="3" xfId="0" applyNumberFormat="1" applyFont="1" applyFill="1" applyBorder="1" applyAlignment="1" applyProtection="1">
      <alignment horizontal="center" vertical="center" wrapText="1"/>
      <protection locked="0" hidden="1"/>
    </xf>
    <xf numFmtId="168" fontId="11" fillId="2" borderId="11" xfId="0" applyNumberFormat="1" applyFont="1" applyFill="1" applyBorder="1" applyAlignment="1" applyProtection="1">
      <alignment horizontal="center" vertical="center" wrapText="1"/>
      <protection locked="0" hidden="1"/>
    </xf>
    <xf numFmtId="0" fontId="17" fillId="4" borderId="2" xfId="0" applyFont="1" applyFill="1" applyBorder="1" applyAlignment="1" applyProtection="1">
      <alignment horizontal="left" vertical="center" wrapText="1"/>
      <protection hidden="1"/>
    </xf>
    <xf numFmtId="0" fontId="17" fillId="4" borderId="3" xfId="0" applyFont="1" applyFill="1" applyBorder="1" applyAlignment="1" applyProtection="1">
      <alignment horizontal="left" vertical="center" wrapText="1"/>
      <protection hidden="1"/>
    </xf>
    <xf numFmtId="0" fontId="17" fillId="4" borderId="11" xfId="0" applyFont="1" applyFill="1" applyBorder="1" applyAlignment="1" applyProtection="1">
      <alignment horizontal="left" vertical="center" wrapText="1"/>
      <protection hidden="1"/>
    </xf>
    <xf numFmtId="0" fontId="11" fillId="2" borderId="13" xfId="0" applyFont="1" applyFill="1" applyBorder="1" applyAlignment="1" applyProtection="1">
      <alignment horizontal="center" wrapText="1"/>
      <protection hidden="1"/>
    </xf>
    <xf numFmtId="169" fontId="24" fillId="3" borderId="2" xfId="0" applyNumberFormat="1" applyFont="1" applyFill="1" applyBorder="1" applyAlignment="1" applyProtection="1">
      <alignment horizontal="center" vertical="center" wrapText="1"/>
      <protection hidden="1"/>
    </xf>
    <xf numFmtId="0" fontId="27" fillId="3" borderId="3" xfId="0" applyFont="1" applyFill="1" applyBorder="1" applyAlignment="1">
      <alignment horizontal="center" vertical="center" wrapText="1"/>
    </xf>
    <xf numFmtId="0" fontId="27" fillId="3" borderId="11" xfId="0" applyFont="1" applyFill="1" applyBorder="1" applyAlignment="1">
      <alignment horizontal="center" vertical="center" wrapText="1"/>
    </xf>
    <xf numFmtId="167" fontId="12" fillId="2" borderId="0" xfId="0" applyNumberFormat="1" applyFont="1" applyFill="1" applyBorder="1" applyAlignment="1" applyProtection="1">
      <alignment horizontal="center" vertical="center" wrapText="1"/>
      <protection hidden="1"/>
    </xf>
    <xf numFmtId="0" fontId="33" fillId="2" borderId="0" xfId="0" applyNumberFormat="1" applyFont="1" applyFill="1" applyAlignment="1">
      <alignment horizontal="left" vertical="top" wrapText="1"/>
    </xf>
    <xf numFmtId="0" fontId="32" fillId="2" borderId="0" xfId="0" applyNumberFormat="1" applyFont="1" applyFill="1" applyAlignment="1">
      <alignment horizontal="left" vertical="top" wrapText="1"/>
    </xf>
    <xf numFmtId="0" fontId="32" fillId="2" borderId="4" xfId="0" applyFont="1" applyFill="1" applyBorder="1" applyAlignment="1" applyProtection="1">
      <alignment horizontal="left" wrapText="1"/>
      <protection hidden="1"/>
    </xf>
    <xf numFmtId="178" fontId="35" fillId="0" borderId="2" xfId="0" applyNumberFormat="1" applyFont="1" applyFill="1" applyBorder="1" applyAlignment="1" applyProtection="1">
      <alignment horizontal="center" vertical="center" wrapText="1"/>
      <protection hidden="1"/>
    </xf>
    <xf numFmtId="178" fontId="35" fillId="0" borderId="11" xfId="0" applyNumberFormat="1" applyFont="1" applyFill="1" applyBorder="1" applyAlignment="1" applyProtection="1">
      <alignment horizontal="center" vertical="center" wrapText="1"/>
      <protection hidden="1"/>
    </xf>
    <xf numFmtId="0" fontId="32" fillId="2" borderId="0" xfId="0" applyFont="1" applyFill="1" applyBorder="1" applyAlignment="1" applyProtection="1">
      <alignment horizontal="left" vertical="top" wrapText="1"/>
      <protection hidden="1"/>
    </xf>
    <xf numFmtId="0" fontId="12" fillId="3" borderId="2"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32" fillId="2" borderId="4" xfId="0" applyFont="1" applyFill="1" applyBorder="1" applyAlignment="1" applyProtection="1">
      <alignment horizontal="left" vertical="top" wrapText="1"/>
      <protection hidden="1"/>
    </xf>
    <xf numFmtId="180" fontId="11" fillId="3" borderId="5" xfId="0" applyNumberFormat="1" applyFont="1" applyFill="1" applyBorder="1" applyAlignment="1" applyProtection="1">
      <alignment horizontal="center" vertical="center" wrapText="1"/>
      <protection hidden="1"/>
    </xf>
    <xf numFmtId="180" fontId="11" fillId="3" borderId="4" xfId="0" applyNumberFormat="1" applyFont="1" applyFill="1" applyBorder="1" applyAlignment="1" applyProtection="1">
      <alignment horizontal="center" vertical="center" wrapText="1"/>
      <protection hidden="1"/>
    </xf>
    <xf numFmtId="180" fontId="11" fillId="3" borderId="12" xfId="0" applyNumberFormat="1" applyFont="1" applyFill="1" applyBorder="1" applyAlignment="1" applyProtection="1">
      <alignment horizontal="center" vertical="center" wrapText="1"/>
      <protection hidden="1"/>
    </xf>
    <xf numFmtId="186" fontId="11" fillId="3" borderId="2" xfId="0" applyNumberFormat="1" applyFont="1" applyFill="1" applyBorder="1" applyAlignment="1" applyProtection="1">
      <alignment horizontal="center" vertical="center" wrapText="1"/>
      <protection hidden="1"/>
    </xf>
    <xf numFmtId="186" fontId="11" fillId="3" borderId="3" xfId="0" applyNumberFormat="1" applyFont="1" applyFill="1" applyBorder="1" applyAlignment="1" applyProtection="1">
      <alignment horizontal="center" vertical="center" wrapText="1"/>
      <protection hidden="1"/>
    </xf>
    <xf numFmtId="186" fontId="11" fillId="3" borderId="11" xfId="0" applyNumberFormat="1" applyFont="1" applyFill="1" applyBorder="1" applyAlignment="1" applyProtection="1">
      <alignment horizontal="center" vertical="center" wrapText="1"/>
      <protection hidden="1"/>
    </xf>
    <xf numFmtId="0" fontId="12" fillId="4" borderId="2" xfId="0" applyFont="1" applyFill="1" applyBorder="1" applyAlignment="1" applyProtection="1">
      <alignment horizontal="center" vertical="center" wrapText="1"/>
      <protection hidden="1"/>
    </xf>
    <xf numFmtId="0" fontId="12" fillId="4" borderId="11" xfId="0" applyFont="1" applyFill="1" applyBorder="1" applyAlignment="1" applyProtection="1">
      <alignment horizontal="center" vertical="center" wrapText="1"/>
      <protection hidden="1"/>
    </xf>
    <xf numFmtId="184" fontId="11" fillId="3" borderId="3" xfId="0" applyNumberFormat="1" applyFont="1" applyFill="1" applyBorder="1" applyAlignment="1" applyProtection="1">
      <alignment horizontal="center" vertical="center" wrapText="1"/>
      <protection hidden="1"/>
    </xf>
    <xf numFmtId="184" fontId="11" fillId="3" borderId="11" xfId="0" applyNumberFormat="1" applyFont="1" applyFill="1" applyBorder="1" applyAlignment="1" applyProtection="1">
      <alignment horizontal="center" vertical="center" wrapText="1"/>
      <protection hidden="1"/>
    </xf>
    <xf numFmtId="0" fontId="11" fillId="3" borderId="1" xfId="0" applyNumberFormat="1" applyFont="1" applyFill="1" applyBorder="1" applyAlignment="1" applyProtection="1">
      <alignment horizontal="center" vertical="center" wrapText="1"/>
      <protection hidden="1"/>
    </xf>
    <xf numFmtId="0" fontId="17" fillId="4" borderId="1" xfId="0" applyFont="1" applyFill="1" applyBorder="1" applyAlignment="1" applyProtection="1">
      <alignment horizontal="center" wrapText="1"/>
      <protection hidden="1"/>
    </xf>
    <xf numFmtId="178" fontId="35" fillId="0" borderId="7" xfId="0" applyNumberFormat="1" applyFont="1" applyFill="1" applyBorder="1" applyAlignment="1" applyProtection="1">
      <alignment horizontal="center" vertical="center" wrapText="1"/>
      <protection hidden="1"/>
    </xf>
    <xf numFmtId="178" fontId="35" fillId="0" borderId="8"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center" wrapText="1"/>
      <protection hidden="1"/>
    </xf>
    <xf numFmtId="0" fontId="4" fillId="2" borderId="13" xfId="0" applyFont="1" applyFill="1" applyBorder="1" applyAlignment="1" applyProtection="1">
      <alignment horizontal="center" wrapText="1"/>
      <protection hidden="1"/>
    </xf>
    <xf numFmtId="0" fontId="5" fillId="4" borderId="2" xfId="0" applyFont="1" applyFill="1" applyBorder="1" applyAlignment="1" applyProtection="1">
      <alignment horizontal="left" vertical="center" wrapText="1"/>
      <protection hidden="1"/>
    </xf>
    <xf numFmtId="0" fontId="5" fillId="4" borderId="3" xfId="0" applyFont="1" applyFill="1" applyBorder="1" applyAlignment="1" applyProtection="1">
      <alignment horizontal="left" vertical="center" wrapText="1"/>
      <protection hidden="1"/>
    </xf>
    <xf numFmtId="0" fontId="5" fillId="4" borderId="11" xfId="0" applyFont="1" applyFill="1" applyBorder="1" applyAlignment="1" applyProtection="1">
      <alignment horizontal="left" vertical="center" wrapText="1"/>
      <protection hidden="1"/>
    </xf>
    <xf numFmtId="168" fontId="4" fillId="2" borderId="2" xfId="0" applyNumberFormat="1" applyFont="1" applyFill="1" applyBorder="1" applyAlignment="1" applyProtection="1">
      <alignment horizontal="center" vertical="center" wrapText="1"/>
      <protection locked="0" hidden="1"/>
    </xf>
    <xf numFmtId="168" fontId="4" fillId="2" borderId="3" xfId="0" applyNumberFormat="1" applyFont="1" applyFill="1" applyBorder="1" applyAlignment="1" applyProtection="1">
      <alignment horizontal="center" vertical="center" wrapText="1"/>
      <protection locked="0" hidden="1"/>
    </xf>
    <xf numFmtId="168" fontId="4" fillId="2" borderId="11" xfId="0" applyNumberFormat="1" applyFont="1" applyFill="1" applyBorder="1" applyAlignment="1" applyProtection="1">
      <alignment horizontal="center" vertical="center" wrapText="1"/>
      <protection locked="0" hidden="1"/>
    </xf>
    <xf numFmtId="164" fontId="4" fillId="2" borderId="2" xfId="0" applyNumberFormat="1" applyFont="1" applyFill="1" applyBorder="1" applyAlignment="1" applyProtection="1">
      <alignment horizontal="center" vertical="center" wrapText="1"/>
      <protection locked="0" hidden="1"/>
    </xf>
    <xf numFmtId="164" fontId="4" fillId="2" borderId="3" xfId="0" applyNumberFormat="1" applyFont="1" applyFill="1" applyBorder="1" applyAlignment="1" applyProtection="1">
      <alignment horizontal="center" vertical="center" wrapText="1"/>
      <protection locked="0" hidden="1"/>
    </xf>
    <xf numFmtId="164" fontId="4" fillId="2" borderId="11" xfId="0" applyNumberFormat="1" applyFont="1" applyFill="1" applyBorder="1" applyAlignment="1" applyProtection="1">
      <alignment horizontal="center" vertical="center" wrapText="1"/>
      <protection locked="0" hidden="1"/>
    </xf>
    <xf numFmtId="179" fontId="4" fillId="2" borderId="2" xfId="0" applyNumberFormat="1" applyFont="1" applyFill="1" applyBorder="1" applyAlignment="1" applyProtection="1">
      <alignment horizontal="center" vertical="center" wrapText="1"/>
      <protection locked="0" hidden="1"/>
    </xf>
    <xf numFmtId="179" fontId="4" fillId="2" borderId="3" xfId="0" applyNumberFormat="1" applyFont="1" applyFill="1" applyBorder="1" applyAlignment="1" applyProtection="1">
      <alignment horizontal="center" vertical="center" wrapText="1"/>
      <protection locked="0" hidden="1"/>
    </xf>
    <xf numFmtId="179" fontId="4" fillId="2" borderId="11" xfId="0" applyNumberFormat="1" applyFont="1" applyFill="1" applyBorder="1" applyAlignment="1" applyProtection="1">
      <alignment horizontal="center" vertical="center" wrapText="1"/>
      <protection locked="0" hidden="1"/>
    </xf>
    <xf numFmtId="174" fontId="4" fillId="2" borderId="2" xfId="0" applyNumberFormat="1" applyFont="1" applyFill="1" applyBorder="1" applyAlignment="1" applyProtection="1">
      <alignment horizontal="center" vertical="center" wrapText="1"/>
      <protection locked="0" hidden="1"/>
    </xf>
    <xf numFmtId="174" fontId="4" fillId="2" borderId="3" xfId="0" applyNumberFormat="1" applyFont="1" applyFill="1" applyBorder="1" applyAlignment="1" applyProtection="1">
      <alignment horizontal="center" vertical="center" wrapText="1"/>
      <protection locked="0" hidden="1"/>
    </xf>
    <xf numFmtId="174" fontId="4" fillId="2" borderId="11" xfId="0" applyNumberFormat="1" applyFont="1" applyFill="1" applyBorder="1" applyAlignment="1" applyProtection="1">
      <alignment horizontal="center" vertical="center" wrapText="1"/>
      <protection locked="0" hidden="1"/>
    </xf>
    <xf numFmtId="180" fontId="3" fillId="3" borderId="2" xfId="0" applyNumberFormat="1" applyFont="1" applyFill="1" applyBorder="1" applyAlignment="1" applyProtection="1">
      <alignment horizontal="center" vertical="center" wrapText="1"/>
      <protection hidden="1"/>
    </xf>
    <xf numFmtId="180" fontId="3" fillId="3" borderId="3" xfId="0" applyNumberFormat="1" applyFont="1" applyFill="1" applyBorder="1" applyAlignment="1" applyProtection="1">
      <alignment horizontal="center" vertical="center" wrapText="1"/>
      <protection hidden="1"/>
    </xf>
    <xf numFmtId="180" fontId="3" fillId="3" borderId="11" xfId="0" applyNumberFormat="1" applyFont="1" applyFill="1" applyBorder="1" applyAlignment="1" applyProtection="1">
      <alignment horizontal="center" vertical="center" wrapText="1"/>
      <protection hidden="1"/>
    </xf>
    <xf numFmtId="0" fontId="9" fillId="2" borderId="0" xfId="0" applyFont="1" applyFill="1" applyBorder="1" applyAlignment="1" applyProtection="1">
      <alignment horizontal="left" wrapText="1"/>
      <protection hidden="1"/>
    </xf>
    <xf numFmtId="178" fontId="3" fillId="3" borderId="5" xfId="0" applyNumberFormat="1" applyFont="1" applyFill="1" applyBorder="1" applyAlignment="1" applyProtection="1">
      <alignment horizontal="center" vertical="center" wrapText="1"/>
      <protection hidden="1"/>
    </xf>
    <xf numFmtId="178" fontId="3" fillId="3" borderId="4" xfId="0" applyNumberFormat="1" applyFont="1" applyFill="1" applyBorder="1" applyAlignment="1" applyProtection="1">
      <alignment horizontal="center" vertical="center" wrapText="1"/>
      <protection hidden="1"/>
    </xf>
    <xf numFmtId="178" fontId="3" fillId="3" borderId="12" xfId="0" applyNumberFormat="1" applyFont="1" applyFill="1" applyBorder="1" applyAlignment="1" applyProtection="1">
      <alignment horizontal="center" vertical="center" wrapText="1"/>
      <protection hidden="1"/>
    </xf>
    <xf numFmtId="176" fontId="4" fillId="3" borderId="2" xfId="0" applyNumberFormat="1" applyFont="1" applyFill="1" applyBorder="1" applyAlignment="1" applyProtection="1">
      <alignment horizontal="center" vertical="center" wrapText="1"/>
      <protection hidden="1"/>
    </xf>
    <xf numFmtId="176" fontId="4" fillId="3" borderId="3" xfId="0" applyNumberFormat="1" applyFont="1" applyFill="1" applyBorder="1" applyAlignment="1" applyProtection="1">
      <alignment horizontal="center" vertical="center" wrapText="1"/>
      <protection hidden="1"/>
    </xf>
    <xf numFmtId="181" fontId="4" fillId="3" borderId="3" xfId="0" applyNumberFormat="1" applyFont="1" applyFill="1" applyBorder="1" applyAlignment="1" applyProtection="1">
      <alignment horizontal="center" vertical="center" wrapText="1"/>
      <protection hidden="1"/>
    </xf>
    <xf numFmtId="181" fontId="4" fillId="3" borderId="11" xfId="0" applyNumberFormat="1" applyFont="1" applyFill="1" applyBorder="1" applyAlignment="1" applyProtection="1">
      <alignment horizontal="center" vertical="center" wrapText="1"/>
      <protection hidden="1"/>
    </xf>
    <xf numFmtId="169" fontId="15" fillId="3" borderId="2" xfId="0" applyNumberFormat="1" applyFont="1" applyFill="1" applyBorder="1" applyAlignment="1" applyProtection="1">
      <alignment horizontal="center" vertical="center" wrapText="1"/>
      <protection hidden="1"/>
    </xf>
    <xf numFmtId="0" fontId="16" fillId="3" borderId="3" xfId="0" applyFont="1" applyFill="1" applyBorder="1" applyAlignment="1">
      <alignment horizontal="center" vertical="center" wrapText="1"/>
    </xf>
    <xf numFmtId="0" fontId="16" fillId="3" borderId="11" xfId="0"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173" fontId="4" fillId="2" borderId="2" xfId="0" applyNumberFormat="1" applyFont="1" applyFill="1" applyBorder="1" applyAlignment="1" applyProtection="1">
      <alignment horizontal="center" vertical="center" wrapText="1"/>
      <protection locked="0" hidden="1"/>
    </xf>
    <xf numFmtId="173" fontId="4" fillId="2" borderId="3" xfId="0" applyNumberFormat="1" applyFont="1" applyFill="1" applyBorder="1" applyAlignment="1" applyProtection="1">
      <alignment horizontal="center" vertical="center" wrapText="1"/>
      <protection locked="0" hidden="1"/>
    </xf>
    <xf numFmtId="173" fontId="4" fillId="2" borderId="11" xfId="0" applyNumberFormat="1" applyFont="1" applyFill="1" applyBorder="1" applyAlignment="1" applyProtection="1">
      <alignment horizontal="center" vertical="center" wrapText="1"/>
      <protection locked="0" hidden="1"/>
    </xf>
    <xf numFmtId="171" fontId="4" fillId="3" borderId="2" xfId="0" applyNumberFormat="1" applyFont="1" applyFill="1" applyBorder="1" applyAlignment="1" applyProtection="1">
      <alignment horizontal="center" vertical="center" wrapText="1"/>
      <protection hidden="1"/>
    </xf>
    <xf numFmtId="171" fontId="4" fillId="3" borderId="3" xfId="0" applyNumberFormat="1" applyFont="1" applyFill="1" applyBorder="1" applyAlignment="1" applyProtection="1">
      <alignment horizontal="center" vertical="center" wrapText="1"/>
      <protection hidden="1"/>
    </xf>
    <xf numFmtId="171" fontId="4" fillId="3" borderId="11" xfId="0" applyNumberFormat="1"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12" xfId="0" applyFont="1" applyFill="1" applyBorder="1" applyAlignment="1" applyProtection="1">
      <alignment horizontal="center" vertical="center" wrapText="1"/>
      <protection hidden="1"/>
    </xf>
    <xf numFmtId="171" fontId="4" fillId="3" borderId="1" xfId="0" applyNumberFormat="1" applyFont="1" applyFill="1" applyBorder="1" applyAlignment="1" applyProtection="1">
      <alignment horizontal="center" vertical="center" wrapText="1"/>
      <protection hidden="1"/>
    </xf>
    <xf numFmtId="178" fontId="4" fillId="3" borderId="2" xfId="0" applyNumberFormat="1" applyFont="1" applyFill="1" applyBorder="1" applyAlignment="1" applyProtection="1">
      <alignment horizontal="center" vertical="center" wrapText="1"/>
      <protection hidden="1"/>
    </xf>
    <xf numFmtId="178" fontId="4" fillId="3" borderId="11" xfId="0" applyNumberFormat="1"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0" fontId="5" fillId="4" borderId="11"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183" fontId="4" fillId="3" borderId="2" xfId="0" applyNumberFormat="1" applyFont="1" applyFill="1" applyBorder="1" applyAlignment="1" applyProtection="1">
      <alignment horizontal="center" vertical="center" wrapText="1"/>
      <protection hidden="1"/>
    </xf>
    <xf numFmtId="183" fontId="4" fillId="3" borderId="11" xfId="0" applyNumberFormat="1" applyFont="1" applyFill="1" applyBorder="1" applyAlignment="1" applyProtection="1">
      <alignment horizontal="center" vertical="center" wrapText="1"/>
      <protection hidden="1"/>
    </xf>
    <xf numFmtId="0" fontId="3" fillId="3" borderId="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180" fontId="4" fillId="3" borderId="5" xfId="0" applyNumberFormat="1" applyFont="1" applyFill="1" applyBorder="1" applyAlignment="1" applyProtection="1">
      <alignment horizontal="center" vertical="center" wrapText="1"/>
      <protection hidden="1"/>
    </xf>
    <xf numFmtId="180" fontId="4" fillId="3" borderId="4" xfId="0" applyNumberFormat="1" applyFont="1" applyFill="1" applyBorder="1" applyAlignment="1" applyProtection="1">
      <alignment horizontal="center" vertical="center" wrapText="1"/>
      <protection hidden="1"/>
    </xf>
    <xf numFmtId="180" fontId="4" fillId="3" borderId="12" xfId="0" applyNumberFormat="1" applyFont="1" applyFill="1" applyBorder="1" applyAlignment="1" applyProtection="1">
      <alignment horizontal="center" vertical="center" wrapText="1"/>
      <protection hidden="1"/>
    </xf>
    <xf numFmtId="182" fontId="4" fillId="3" borderId="5" xfId="0" applyNumberFormat="1" applyFont="1" applyFill="1" applyBorder="1" applyAlignment="1" applyProtection="1">
      <alignment horizontal="center" vertical="center" wrapText="1"/>
      <protection hidden="1"/>
    </xf>
    <xf numFmtId="182" fontId="4" fillId="3" borderId="4" xfId="0" applyNumberFormat="1" applyFont="1" applyFill="1" applyBorder="1" applyAlignment="1" applyProtection="1">
      <alignment horizontal="center" vertical="center" wrapText="1"/>
      <protection hidden="1"/>
    </xf>
    <xf numFmtId="182" fontId="4" fillId="3" borderId="12" xfId="0" applyNumberFormat="1" applyFont="1" applyFill="1" applyBorder="1" applyAlignment="1" applyProtection="1">
      <alignment horizontal="center" vertical="center" wrapText="1"/>
      <protection hidden="1"/>
    </xf>
    <xf numFmtId="165" fontId="3" fillId="3" borderId="3" xfId="0" applyNumberFormat="1" applyFont="1" applyFill="1" applyBorder="1" applyAlignment="1" applyProtection="1">
      <alignment horizontal="left" vertical="center" wrapText="1"/>
      <protection hidden="1"/>
    </xf>
    <xf numFmtId="165" fontId="3" fillId="3" borderId="11" xfId="0" applyNumberFormat="1" applyFont="1" applyFill="1" applyBorder="1" applyAlignment="1" applyProtection="1">
      <alignment horizontal="left" vertical="center" wrapText="1"/>
      <protection hidden="1"/>
    </xf>
    <xf numFmtId="0" fontId="4" fillId="3" borderId="3"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4" fillId="3" borderId="1" xfId="0" applyNumberFormat="1" applyFont="1" applyFill="1" applyBorder="1" applyAlignment="1" applyProtection="1">
      <alignment horizontal="center" vertical="center" wrapText="1"/>
      <protection hidden="1"/>
    </xf>
    <xf numFmtId="184" fontId="4" fillId="3" borderId="3" xfId="0" applyNumberFormat="1" applyFont="1" applyFill="1" applyBorder="1" applyAlignment="1" applyProtection="1">
      <alignment horizontal="center" vertical="center" wrapText="1"/>
      <protection hidden="1"/>
    </xf>
    <xf numFmtId="184" fontId="4" fillId="3" borderId="11" xfId="0" applyNumberFormat="1" applyFont="1" applyFill="1" applyBorder="1" applyAlignment="1" applyProtection="1">
      <alignment horizontal="center" vertical="center" wrapText="1"/>
      <protection hidden="1"/>
    </xf>
    <xf numFmtId="187" fontId="4" fillId="2" borderId="2" xfId="0" applyNumberFormat="1" applyFont="1" applyFill="1" applyBorder="1" applyAlignment="1" applyProtection="1">
      <alignment horizontal="center" vertical="center" wrapText="1"/>
      <protection locked="0" hidden="1"/>
    </xf>
    <xf numFmtId="187" fontId="4" fillId="2" borderId="3" xfId="0" applyNumberFormat="1" applyFont="1" applyFill="1" applyBorder="1" applyAlignment="1" applyProtection="1">
      <alignment horizontal="center" vertical="center" wrapText="1"/>
      <protection locked="0" hidden="1"/>
    </xf>
    <xf numFmtId="187" fontId="4" fillId="2" borderId="11" xfId="0" applyNumberFormat="1" applyFont="1" applyFill="1" applyBorder="1" applyAlignment="1" applyProtection="1">
      <alignment horizontal="center" vertical="center" wrapText="1"/>
      <protection locked="0" hidden="1"/>
    </xf>
    <xf numFmtId="0" fontId="11" fillId="2" borderId="4" xfId="0" applyFont="1" applyFill="1" applyBorder="1" applyAlignment="1" applyProtection="1">
      <alignment horizontal="left" wrapText="1"/>
      <protection hidden="1"/>
    </xf>
    <xf numFmtId="0" fontId="12" fillId="2" borderId="0" xfId="0" applyNumberFormat="1" applyFont="1" applyFill="1" applyAlignment="1">
      <alignment horizontal="left" vertical="top" wrapText="1"/>
    </xf>
    <xf numFmtId="0" fontId="11" fillId="2" borderId="0" xfId="0" applyNumberFormat="1" applyFont="1" applyFill="1" applyAlignment="1">
      <alignment horizontal="left" vertical="top" wrapText="1"/>
    </xf>
    <xf numFmtId="0" fontId="11" fillId="2" borderId="0" xfId="0" applyFont="1" applyFill="1" applyBorder="1" applyAlignment="1" applyProtection="1">
      <alignment horizontal="left" wrapText="1"/>
      <protection hidden="1"/>
    </xf>
    <xf numFmtId="0" fontId="2" fillId="2" borderId="13" xfId="0"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cellXfs>
  <cellStyles count="4">
    <cellStyle name="Dezimal" xfId="2" builtinId="3"/>
    <cellStyle name="Normal 2" xfId="1"/>
    <cellStyle name="Standard" xfId="0" builtinId="0"/>
    <cellStyle name="Währung" xfId="3"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plotArea>
      <c:layout>
        <c:manualLayout>
          <c:layoutTarget val="inner"/>
          <c:xMode val="edge"/>
          <c:yMode val="edge"/>
          <c:x val="0.15946348733234236"/>
          <c:y val="0.14021200244916429"/>
          <c:w val="0.80339434040805002"/>
          <c:h val="0.59682708519792327"/>
        </c:manualLayout>
      </c:layout>
      <c:lineChart>
        <c:grouping val="standard"/>
        <c:ser>
          <c:idx val="0"/>
          <c:order val="0"/>
          <c:tx>
            <c:strRef>
              <c:f>'EFOY Pro + Solar Calculator'!$D$33:$E$33</c:f>
              <c:strCache>
                <c:ptCount val="1"/>
                <c:pt idx="0">
                  <c:v>Solar Yield</c:v>
                </c:pt>
              </c:strCache>
            </c:strRef>
          </c:tx>
          <c:spPr>
            <a:ln w="38100">
              <a:pattFill prst="pct75">
                <a:fgClr>
                  <a:srgbClr val="FFFF00"/>
                </a:fgClr>
                <a:bgClr>
                  <a:srgbClr val="FFFFFF"/>
                </a:bgClr>
              </a:pattFill>
              <a:prstDash val="solid"/>
            </a:ln>
          </c:spPr>
          <c:marker>
            <c:symbol val="none"/>
          </c:marker>
          <c:cat>
            <c:strRef>
              <c:f>'EFOY Pro + Solar Calculator'!$B$34:$B$45</c:f>
              <c:strCache>
                <c:ptCount val="11"/>
                <c:pt idx="0">
                  <c:v>Jan</c:v>
                </c:pt>
                <c:pt idx="1">
                  <c:v>Feb</c:v>
                </c:pt>
                <c:pt idx="2">
                  <c:v>Mar</c:v>
                </c:pt>
                <c:pt idx="3">
                  <c:v>Apr</c:v>
                </c:pt>
                <c:pt idx="4">
                  <c:v>May</c:v>
                </c:pt>
                <c:pt idx="5">
                  <c:v>Jun</c:v>
                </c:pt>
                <c:pt idx="6">
                  <c:v>Jul</c:v>
                </c:pt>
                <c:pt idx="7">
                  <c:v>Aug</c:v>
                </c:pt>
                <c:pt idx="8">
                  <c:v>Sep</c:v>
                </c:pt>
                <c:pt idx="9">
                  <c:v>Oct</c:v>
                </c:pt>
                <c:pt idx="10">
                  <c:v>Nov</c:v>
                </c:pt>
              </c:strCache>
            </c:strRef>
          </c:cat>
          <c:val>
            <c:numRef>
              <c:f>'EFOY Pro + Solar Calculator'!$D$34:$D$45</c:f>
              <c:numCache>
                <c:formatCode>0\ "kWh"</c:formatCode>
                <c:ptCount val="11"/>
                <c:pt idx="0">
                  <c:v>3.4596000000000005</c:v>
                </c:pt>
                <c:pt idx="1">
                  <c:v>6.4008000000000003</c:v>
                </c:pt>
                <c:pt idx="2">
                  <c:v>14.005799999999999</c:v>
                </c:pt>
                <c:pt idx="3">
                  <c:v>21.384000000000004</c:v>
                </c:pt>
                <c:pt idx="4">
                  <c:v>29.741399999999999</c:v>
                </c:pt>
                <c:pt idx="5">
                  <c:v>29.754000000000005</c:v>
                </c:pt>
                <c:pt idx="6">
                  <c:v>29.462399999999999</c:v>
                </c:pt>
                <c:pt idx="7">
                  <c:v>24.886800000000004</c:v>
                </c:pt>
                <c:pt idx="8">
                  <c:v>16.038</c:v>
                </c:pt>
                <c:pt idx="9">
                  <c:v>8.9838000000000005</c:v>
                </c:pt>
                <c:pt idx="10">
                  <c:v>4.1580000000000004</c:v>
                </c:pt>
              </c:numCache>
            </c:numRef>
          </c:val>
          <c:smooth val="1"/>
        </c:ser>
        <c:ser>
          <c:idx val="2"/>
          <c:order val="1"/>
          <c:tx>
            <c:strRef>
              <c:f>'EFOY Pro + Solar Calculator'!$F$33:$G$33</c:f>
              <c:strCache>
                <c:ptCount val="1"/>
                <c:pt idx="0">
                  <c:v>Energy Demand</c:v>
                </c:pt>
              </c:strCache>
            </c:strRef>
          </c:tx>
          <c:spPr>
            <a:ln w="38100">
              <a:solidFill>
                <a:srgbClr val="000000"/>
              </a:solidFill>
              <a:prstDash val="solid"/>
            </a:ln>
          </c:spPr>
          <c:marker>
            <c:symbol val="none"/>
          </c:marker>
          <c:cat>
            <c:strRef>
              <c:f>'EFOY Pro + Solar Calculator'!$B$34:$B$45</c:f>
              <c:strCache>
                <c:ptCount val="11"/>
                <c:pt idx="0">
                  <c:v>Jan</c:v>
                </c:pt>
                <c:pt idx="1">
                  <c:v>Feb</c:v>
                </c:pt>
                <c:pt idx="2">
                  <c:v>Mar</c:v>
                </c:pt>
                <c:pt idx="3">
                  <c:v>Apr</c:v>
                </c:pt>
                <c:pt idx="4">
                  <c:v>May</c:v>
                </c:pt>
                <c:pt idx="5">
                  <c:v>Jun</c:v>
                </c:pt>
                <c:pt idx="6">
                  <c:v>Jul</c:v>
                </c:pt>
                <c:pt idx="7">
                  <c:v>Aug</c:v>
                </c:pt>
                <c:pt idx="8">
                  <c:v>Sep</c:v>
                </c:pt>
                <c:pt idx="9">
                  <c:v>Oct</c:v>
                </c:pt>
                <c:pt idx="10">
                  <c:v>Nov</c:v>
                </c:pt>
              </c:strCache>
            </c:strRef>
          </c:cat>
          <c:val>
            <c:numRef>
              <c:f>'EFOY Pro + Solar Calculator'!$F$34:$F$45</c:f>
              <c:numCache>
                <c:formatCode>0\ "kWh"</c:formatCode>
                <c:ptCount val="11"/>
                <c:pt idx="0">
                  <c:v>17.856000000000002</c:v>
                </c:pt>
                <c:pt idx="1">
                  <c:v>16.128</c:v>
                </c:pt>
                <c:pt idx="2">
                  <c:v>17.856000000000002</c:v>
                </c:pt>
                <c:pt idx="3">
                  <c:v>17.28</c:v>
                </c:pt>
                <c:pt idx="4">
                  <c:v>17.856000000000002</c:v>
                </c:pt>
                <c:pt idx="5">
                  <c:v>17.28</c:v>
                </c:pt>
                <c:pt idx="6">
                  <c:v>17.856000000000002</c:v>
                </c:pt>
                <c:pt idx="7">
                  <c:v>17.856000000000002</c:v>
                </c:pt>
                <c:pt idx="8">
                  <c:v>17.28</c:v>
                </c:pt>
                <c:pt idx="9">
                  <c:v>17.856000000000002</c:v>
                </c:pt>
                <c:pt idx="10">
                  <c:v>17.28</c:v>
                </c:pt>
              </c:numCache>
            </c:numRef>
          </c:val>
        </c:ser>
        <c:upDownBars>
          <c:gapWidth val="150"/>
          <c:upBars>
            <c:spPr>
              <a:solidFill>
                <a:srgbClr val="99CC00"/>
              </a:solidFill>
              <a:ln w="3175">
                <a:solidFill>
                  <a:srgbClr val="808080"/>
                </a:solidFill>
                <a:prstDash val="solid"/>
              </a:ln>
            </c:spPr>
          </c:upBars>
          <c:downBars>
            <c:spPr>
              <a:noFill/>
              <a:ln w="9525">
                <a:noFill/>
              </a:ln>
            </c:spPr>
          </c:downBars>
        </c:upDownBars>
        <c:marker val="1"/>
        <c:axId val="118182272"/>
        <c:axId val="118183808"/>
      </c:lineChart>
      <c:catAx>
        <c:axId val="118182272"/>
        <c:scaling>
          <c:orientation val="minMax"/>
        </c:scaling>
        <c:axPos val="b"/>
        <c:numFmt formatCode="General" sourceLinked="1"/>
        <c:tickLblPos val="nextTo"/>
        <c:spPr>
          <a:ln w="3175">
            <a:solidFill>
              <a:srgbClr val="000000"/>
            </a:solidFill>
            <a:prstDash val="solid"/>
          </a:ln>
        </c:spPr>
        <c:txPr>
          <a:bodyPr rot="-5400000" vert="horz"/>
          <a:lstStyle/>
          <a:p>
            <a:pPr>
              <a:defRPr sz="875" b="0" i="0" u="none" strike="noStrike" baseline="0">
                <a:solidFill>
                  <a:srgbClr val="000000"/>
                </a:solidFill>
                <a:latin typeface="DIN-Regular"/>
                <a:ea typeface="DIN-Regular"/>
                <a:cs typeface="DIN-Regular"/>
              </a:defRPr>
            </a:pPr>
            <a:endParaRPr lang="de-DE"/>
          </a:p>
        </c:txPr>
        <c:crossAx val="118183808"/>
        <c:crossesAt val="0"/>
        <c:auto val="1"/>
        <c:lblAlgn val="ctr"/>
        <c:lblOffset val="100"/>
        <c:tickMarkSkip val="1"/>
      </c:catAx>
      <c:valAx>
        <c:axId val="118183808"/>
        <c:scaling>
          <c:orientation val="minMax"/>
          <c:min val="0"/>
        </c:scaling>
        <c:axPos val="l"/>
        <c:majorGridlines>
          <c:spPr>
            <a:ln w="3175">
              <a:solidFill>
                <a:srgbClr val="808080"/>
              </a:solidFill>
              <a:prstDash val="solid"/>
            </a:ln>
          </c:spPr>
        </c:majorGridlines>
        <c:numFmt formatCode="0\ &quot;kWh&quot;" sourceLinked="1"/>
        <c:tickLblPos val="nextTo"/>
        <c:spPr>
          <a:ln w="3175">
            <a:solidFill>
              <a:srgbClr val="969696"/>
            </a:solidFill>
            <a:prstDash val="solid"/>
          </a:ln>
        </c:spPr>
        <c:txPr>
          <a:bodyPr rot="0" vert="horz"/>
          <a:lstStyle/>
          <a:p>
            <a:pPr>
              <a:defRPr sz="875" b="0" i="0" u="none" strike="noStrike" baseline="0">
                <a:solidFill>
                  <a:srgbClr val="000000"/>
                </a:solidFill>
                <a:latin typeface="DIN-Regular"/>
                <a:ea typeface="DIN-Regular"/>
                <a:cs typeface="DIN-Regular"/>
              </a:defRPr>
            </a:pPr>
            <a:endParaRPr lang="de-DE"/>
          </a:p>
        </c:txPr>
        <c:crossAx val="118182272"/>
        <c:crosses val="autoZero"/>
        <c:crossBetween val="between"/>
      </c:valAx>
      <c:dTable>
        <c:showHorzBorder val="1"/>
        <c:showVertBorder val="1"/>
        <c:showOutline val="1"/>
        <c:spPr>
          <a:ln w="3175">
            <a:solidFill>
              <a:srgbClr val="808080"/>
            </a:solidFill>
            <a:prstDash val="solid"/>
          </a:ln>
        </c:spPr>
        <c:txPr>
          <a:bodyPr/>
          <a:lstStyle/>
          <a:p>
            <a:pPr rtl="0">
              <a:defRPr sz="800" b="0" i="0" u="none" strike="noStrike" baseline="0">
                <a:solidFill>
                  <a:srgbClr val="000000"/>
                </a:solidFill>
                <a:latin typeface="DIN-Regular"/>
                <a:ea typeface="DIN-Regular"/>
                <a:cs typeface="DIN-Regular"/>
              </a:defRPr>
            </a:pPr>
            <a:endParaRPr lang="de-DE"/>
          </a:p>
        </c:txPr>
      </c:dTable>
      <c:spPr>
        <a:solidFill>
          <a:srgbClr val="C0C0C0"/>
        </a:solidFill>
        <a:ln w="12700">
          <a:solidFill>
            <a:srgbClr val="808080"/>
          </a:solidFill>
          <a:prstDash val="solid"/>
        </a:ln>
      </c:spPr>
    </c:plotArea>
    <c:legend>
      <c:legendPos val="r"/>
      <c:layout>
        <c:manualLayout>
          <c:xMode val="edge"/>
          <c:yMode val="edge"/>
          <c:x val="0.38450074515648497"/>
          <c:y val="2.1164021164021166E-2"/>
          <c:w val="0.36810730253353174"/>
          <c:h val="6.3492341235123831E-2"/>
        </c:manualLayout>
      </c:layout>
      <c:spPr>
        <a:solidFill>
          <a:srgbClr val="FFFFFF"/>
        </a:solidFill>
        <a:ln w="3175">
          <a:solidFill>
            <a:srgbClr val="808080"/>
          </a:solidFill>
          <a:prstDash val="solid"/>
        </a:ln>
      </c:spPr>
      <c:txPr>
        <a:bodyPr/>
        <a:lstStyle/>
        <a:p>
          <a:pPr>
            <a:defRPr sz="805" b="0" i="0" u="none" strike="noStrike" baseline="0">
              <a:solidFill>
                <a:srgbClr val="000000"/>
              </a:solidFill>
              <a:latin typeface="DIN-Regular"/>
              <a:ea typeface="DIN-Regular"/>
              <a:cs typeface="DIN-Regular"/>
            </a:defRPr>
          </a:pPr>
          <a:endParaRPr lang="de-DE"/>
        </a:p>
      </c:txPr>
    </c:legend>
    <c:plotVisOnly val="1"/>
    <c:dispBlanksAs val="gap"/>
  </c:chart>
  <c:spPr>
    <a:solidFill>
      <a:srgbClr val="FFFFFF"/>
    </a:solidFill>
    <a:ln w="12700">
      <a:noFill/>
      <a:prstDash val="solid"/>
    </a:ln>
    <a:scene3d>
      <a:camera prst="orthographicFront"/>
      <a:lightRig rig="threePt" dir="t"/>
    </a:scene3d>
    <a:sp3d/>
  </c:spPr>
  <c:txPr>
    <a:bodyPr/>
    <a:lstStyle/>
    <a:p>
      <a:pPr>
        <a:defRPr sz="875" b="0" i="0" u="none" strike="noStrike" baseline="0">
          <a:solidFill>
            <a:srgbClr val="000000"/>
          </a:solidFill>
          <a:latin typeface="DIN-Regular"/>
          <a:ea typeface="DIN-Regular"/>
          <a:cs typeface="DIN-Regular"/>
        </a:defRPr>
      </a:pPr>
      <a:endParaRPr lang="de-DE"/>
    </a:p>
  </c:txPr>
  <c:printSettings>
    <c:headerFooter alignWithMargins="0"/>
    <c:pageMargins b="0.98425196850393659" l="0.78740157480314954" r="0.78740157480314954" t="0.98425196850393659"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chart>
    <c:plotArea>
      <c:layout>
        <c:manualLayout>
          <c:layoutTarget val="inner"/>
          <c:xMode val="edge"/>
          <c:yMode val="edge"/>
          <c:x val="0.15946348733234253"/>
          <c:y val="0.14021200244916437"/>
          <c:w val="0.81967213114754101"/>
          <c:h val="0.65079533212253893"/>
        </c:manualLayout>
      </c:layout>
      <c:lineChart>
        <c:grouping val="standard"/>
        <c:ser>
          <c:idx val="0"/>
          <c:order val="0"/>
          <c:tx>
            <c:strRef>
              <c:f>'EFOY Pro + Solar Calculator RU'!$D$33:$E$33</c:f>
              <c:strCache>
                <c:ptCount val="1"/>
                <c:pt idx="0">
                  <c:v>Solar Yield</c:v>
                </c:pt>
              </c:strCache>
            </c:strRef>
          </c:tx>
          <c:spPr>
            <a:ln w="38100">
              <a:pattFill prst="pct75">
                <a:fgClr>
                  <a:srgbClr val="FFFF00"/>
                </a:fgClr>
                <a:bgClr>
                  <a:srgbClr val="FFFFFF"/>
                </a:bgClr>
              </a:pattFill>
              <a:prstDash val="solid"/>
            </a:ln>
          </c:spPr>
          <c:marker>
            <c:symbol val="none"/>
          </c:marker>
          <c:cat>
            <c:strRef>
              <c:f>'EFOY Pro + Solar Calculator RU'!$B$34:$B$45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'EFOY Pro + Solar Calculator RU'!$D$34:$D$45</c:f>
              <c:numCache>
                <c:formatCode>0\ "kWh"</c:formatCode>
                <c:ptCount val="12"/>
                <c:pt idx="0">
                  <c:v>0</c:v>
                </c:pt>
                <c:pt idx="1">
                  <c:v>9.9072222222222237</c:v>
                </c:pt>
                <c:pt idx="2">
                  <c:v>26.732499999999995</c:v>
                </c:pt>
                <c:pt idx="3">
                  <c:v>52.48749999999999</c:v>
                </c:pt>
                <c:pt idx="4">
                  <c:v>63.967222222222226</c:v>
                </c:pt>
                <c:pt idx="5">
                  <c:v>63.75</c:v>
                </c:pt>
                <c:pt idx="6">
                  <c:v>61.540000000000006</c:v>
                </c:pt>
                <c:pt idx="7">
                  <c:v>47.958888888888893</c:v>
                </c:pt>
                <c:pt idx="8">
                  <c:v>31.26583333333333</c:v>
                </c:pt>
                <c:pt idx="9">
                  <c:v>14.355555555555558</c:v>
                </c:pt>
                <c:pt idx="10">
                  <c:v>0</c:v>
                </c:pt>
                <c:pt idx="11">
                  <c:v>0</c:v>
                </c:pt>
              </c:numCache>
            </c:numRef>
          </c:val>
          <c:smooth val="1"/>
        </c:ser>
        <c:ser>
          <c:idx val="2"/>
          <c:order val="1"/>
          <c:tx>
            <c:strRef>
              <c:f>'EFOY Pro + Solar Calculator RU'!$F$33:$G$33</c:f>
              <c:strCache>
                <c:ptCount val="1"/>
                <c:pt idx="0">
                  <c:v>Energy Demand</c:v>
                </c:pt>
              </c:strCache>
            </c:strRef>
          </c:tx>
          <c:spPr>
            <a:ln w="38100">
              <a:solidFill>
                <a:srgbClr val="000000"/>
              </a:solidFill>
              <a:prstDash val="solid"/>
            </a:ln>
          </c:spPr>
          <c:marker>
            <c:symbol val="none"/>
          </c:marker>
          <c:cat>
            <c:strRef>
              <c:f>'EFOY Pro + Solar Calculator RU'!$B$34:$B$45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'EFOY Pro + Solar Calculator RU'!$F$34:$F$45</c:f>
              <c:numCache>
                <c:formatCode>0\ "kWh"</c:formatCode>
                <c:ptCount val="12"/>
                <c:pt idx="0">
                  <c:v>34.56</c:v>
                </c:pt>
                <c:pt idx="1">
                  <c:v>34.56</c:v>
                </c:pt>
                <c:pt idx="2">
                  <c:v>34.56</c:v>
                </c:pt>
                <c:pt idx="3">
                  <c:v>34.56</c:v>
                </c:pt>
                <c:pt idx="4">
                  <c:v>34.56</c:v>
                </c:pt>
                <c:pt idx="5">
                  <c:v>34.56</c:v>
                </c:pt>
                <c:pt idx="6">
                  <c:v>34.56</c:v>
                </c:pt>
                <c:pt idx="7">
                  <c:v>34.56</c:v>
                </c:pt>
                <c:pt idx="8">
                  <c:v>34.56</c:v>
                </c:pt>
                <c:pt idx="9">
                  <c:v>34.56</c:v>
                </c:pt>
                <c:pt idx="10">
                  <c:v>34.56</c:v>
                </c:pt>
                <c:pt idx="11">
                  <c:v>34.56</c:v>
                </c:pt>
              </c:numCache>
            </c:numRef>
          </c:val>
        </c:ser>
        <c:upDownBars>
          <c:gapWidth val="150"/>
          <c:upBars>
            <c:spPr>
              <a:solidFill>
                <a:srgbClr val="99CC00"/>
              </a:solidFill>
              <a:ln w="3175">
                <a:solidFill>
                  <a:srgbClr val="808080"/>
                </a:solidFill>
                <a:prstDash val="solid"/>
              </a:ln>
            </c:spPr>
          </c:upBars>
          <c:downBars>
            <c:spPr>
              <a:noFill/>
              <a:ln w="9525">
                <a:noFill/>
              </a:ln>
            </c:spPr>
          </c:downBars>
        </c:upDownBars>
        <c:marker val="1"/>
        <c:axId val="118883456"/>
        <c:axId val="118884992"/>
      </c:lineChart>
      <c:catAx>
        <c:axId val="118883456"/>
        <c:scaling>
          <c:orientation val="minMax"/>
        </c:scaling>
        <c:axPos val="b"/>
        <c:numFmt formatCode="General" sourceLinked="1"/>
        <c:tickLblPos val="nextTo"/>
        <c:spPr>
          <a:ln w="3175">
            <a:solidFill>
              <a:srgbClr val="000000"/>
            </a:solidFill>
            <a:prstDash val="solid"/>
          </a:ln>
        </c:spPr>
        <c:txPr>
          <a:bodyPr rot="-5400000" vert="horz"/>
          <a:lstStyle/>
          <a:p>
            <a:pPr>
              <a:defRPr sz="875" b="0" i="0" u="none" strike="noStrike" baseline="0">
                <a:solidFill>
                  <a:srgbClr val="000000"/>
                </a:solidFill>
                <a:latin typeface="DIN-Regular"/>
                <a:ea typeface="DIN-Regular"/>
                <a:cs typeface="DIN-Regular"/>
              </a:defRPr>
            </a:pPr>
            <a:endParaRPr lang="de-DE"/>
          </a:p>
        </c:txPr>
        <c:crossAx val="118884992"/>
        <c:crossesAt val="0"/>
        <c:auto val="1"/>
        <c:lblAlgn val="ctr"/>
        <c:lblOffset val="100"/>
        <c:tickMarkSkip val="1"/>
      </c:catAx>
      <c:valAx>
        <c:axId val="118884992"/>
        <c:scaling>
          <c:orientation val="minMax"/>
          <c:min val="0"/>
        </c:scaling>
        <c:axPos val="l"/>
        <c:majorGridlines>
          <c:spPr>
            <a:ln w="3175">
              <a:solidFill>
                <a:srgbClr val="808080"/>
              </a:solidFill>
              <a:prstDash val="solid"/>
            </a:ln>
          </c:spPr>
        </c:majorGridlines>
        <c:numFmt formatCode="0\ &quot;kWh&quot;" sourceLinked="1"/>
        <c:tickLblPos val="nextTo"/>
        <c:spPr>
          <a:ln w="3175">
            <a:solidFill>
              <a:srgbClr val="969696"/>
            </a:solidFill>
            <a:prstDash val="solid"/>
          </a:ln>
        </c:spPr>
        <c:txPr>
          <a:bodyPr rot="0" vert="horz"/>
          <a:lstStyle/>
          <a:p>
            <a:pPr>
              <a:defRPr sz="875" b="0" i="0" u="none" strike="noStrike" baseline="0">
                <a:solidFill>
                  <a:srgbClr val="000000"/>
                </a:solidFill>
                <a:latin typeface="DIN-Regular"/>
                <a:ea typeface="DIN-Regular"/>
                <a:cs typeface="DIN-Regular"/>
              </a:defRPr>
            </a:pPr>
            <a:endParaRPr lang="de-DE"/>
          </a:p>
        </c:txPr>
        <c:crossAx val="118883456"/>
        <c:crosses val="autoZero"/>
        <c:crossBetween val="between"/>
      </c:valAx>
      <c:dTable>
        <c:showHorzBorder val="1"/>
        <c:showVertBorder val="1"/>
        <c:showOutline val="1"/>
        <c:spPr>
          <a:ln w="3175">
            <a:solidFill>
              <a:srgbClr val="808080"/>
            </a:solidFill>
            <a:prstDash val="solid"/>
          </a:ln>
        </c:spPr>
        <c:txPr>
          <a:bodyPr/>
          <a:lstStyle/>
          <a:p>
            <a:pPr rtl="0">
              <a:defRPr sz="875" b="0" i="0" u="none" strike="noStrike" baseline="0">
                <a:solidFill>
                  <a:srgbClr val="000000"/>
                </a:solidFill>
                <a:latin typeface="DIN-Regular"/>
                <a:ea typeface="DIN-Regular"/>
                <a:cs typeface="DIN-Regular"/>
              </a:defRPr>
            </a:pPr>
            <a:endParaRPr lang="de-DE"/>
          </a:p>
        </c:txPr>
      </c:dTable>
      <c:spPr>
        <a:solidFill>
          <a:srgbClr val="C0C0C0"/>
        </a:solidFill>
        <a:ln w="12700">
          <a:solidFill>
            <a:srgbClr val="808080"/>
          </a:solidFill>
          <a:prstDash val="solid"/>
        </a:ln>
      </c:spPr>
    </c:plotArea>
    <c:legend>
      <c:legendPos val="r"/>
      <c:layout>
        <c:manualLayout>
          <c:xMode val="edge"/>
          <c:yMode val="edge"/>
          <c:x val="0.38450074515648508"/>
          <c:y val="2.1164021164021166E-2"/>
          <c:w val="0.36810730253353174"/>
          <c:h val="6.3492341235123873E-2"/>
        </c:manualLayout>
      </c:layout>
      <c:spPr>
        <a:solidFill>
          <a:srgbClr val="FFFFFF"/>
        </a:solidFill>
        <a:ln w="3175">
          <a:solidFill>
            <a:srgbClr val="808080"/>
          </a:solidFill>
          <a:prstDash val="solid"/>
        </a:ln>
      </c:spPr>
      <c:txPr>
        <a:bodyPr/>
        <a:lstStyle/>
        <a:p>
          <a:pPr>
            <a:defRPr sz="805" b="0" i="0" u="none" strike="noStrike" baseline="0">
              <a:solidFill>
                <a:srgbClr val="000000"/>
              </a:solidFill>
              <a:latin typeface="DIN-Regular"/>
              <a:ea typeface="DIN-Regular"/>
              <a:cs typeface="DIN-Regular"/>
            </a:defRPr>
          </a:pPr>
          <a:endParaRPr lang="de-DE"/>
        </a:p>
      </c:txPr>
    </c:legend>
    <c:plotVisOnly val="1"/>
    <c:dispBlanksAs val="gap"/>
  </c:chart>
  <c:spPr>
    <a:solidFill>
      <a:srgbClr val="FFFFFF"/>
    </a:solidFill>
    <a:ln w="3175">
      <a:solidFill>
        <a:srgbClr val="000000"/>
      </a:solidFill>
      <a:prstDash val="solid"/>
    </a:ln>
  </c:spPr>
  <c:txPr>
    <a:bodyPr/>
    <a:lstStyle/>
    <a:p>
      <a:pPr>
        <a:defRPr sz="875" b="0" i="0" u="none" strike="noStrike" baseline="0">
          <a:solidFill>
            <a:srgbClr val="000000"/>
          </a:solidFill>
          <a:latin typeface="DIN-Regular"/>
          <a:ea typeface="DIN-Regular"/>
          <a:cs typeface="DIN-Regular"/>
        </a:defRPr>
      </a:pPr>
      <a:endParaRPr lang="de-DE"/>
    </a:p>
  </c:txPr>
  <c:printSettings>
    <c:headerFooter alignWithMargins="0"/>
    <c:pageMargins b="0.98425196899999956" l="0.78740157499999996" r="0.78740157499999996" t="0.98425196899999956" header="0.49212598450000183" footer="0.4921259845000018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163544</xdr:colOff>
      <xdr:row>0</xdr:row>
      <xdr:rowOff>23775</xdr:rowOff>
    </xdr:from>
    <xdr:to>
      <xdr:col>6</xdr:col>
      <xdr:colOff>610038</xdr:colOff>
      <xdr:row>1</xdr:row>
      <xdr:rowOff>123264</xdr:rowOff>
    </xdr:to>
    <xdr:pic>
      <xdr:nvPicPr>
        <xdr:cNvPr id="1226" name="Picture 191"/>
        <xdr:cNvPicPr>
          <a:picLocks noChangeAspect="1" noChangeArrowheads="1"/>
        </xdr:cNvPicPr>
      </xdr:nvPicPr>
      <xdr:blipFill>
        <a:blip xmlns:r="http://schemas.openxmlformats.org/officeDocument/2006/relationships" r:embed="rId1" cstate="print"/>
        <a:srcRect/>
        <a:stretch>
          <a:fillRect/>
        </a:stretch>
      </xdr:blipFill>
      <xdr:spPr bwMode="auto">
        <a:xfrm>
          <a:off x="4421779" y="23775"/>
          <a:ext cx="1029200" cy="514107"/>
        </a:xfrm>
        <a:prstGeom prst="rect">
          <a:avLst/>
        </a:prstGeom>
        <a:noFill/>
        <a:ln w="9525">
          <a:noFill/>
          <a:miter lim="800000"/>
          <a:headEnd/>
          <a:tailEnd/>
        </a:ln>
      </xdr:spPr>
    </xdr:pic>
    <xdr:clientData/>
  </xdr:twoCellAnchor>
  <xdr:twoCellAnchor>
    <xdr:from>
      <xdr:col>0</xdr:col>
      <xdr:colOff>100852</xdr:colOff>
      <xdr:row>17</xdr:row>
      <xdr:rowOff>33615</xdr:rowOff>
    </xdr:from>
    <xdr:to>
      <xdr:col>7</xdr:col>
      <xdr:colOff>145676</xdr:colOff>
      <xdr:row>44</xdr:row>
      <xdr:rowOff>94688</xdr:rowOff>
    </xdr:to>
    <xdr:graphicFrame macro="">
      <xdr:nvGraphicFramePr>
        <xdr:cNvPr id="1225" name="Chart 1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17</xdr:row>
      <xdr:rowOff>114300</xdr:rowOff>
    </xdr:from>
    <xdr:to>
      <xdr:col>7</xdr:col>
      <xdr:colOff>19051</xdr:colOff>
      <xdr:row>49</xdr:row>
      <xdr:rowOff>94128</xdr:rowOff>
    </xdr:to>
    <xdr:graphicFrame macro="">
      <xdr:nvGraphicFramePr>
        <xdr:cNvPr id="2" name="Chart 1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154884</xdr:colOff>
      <xdr:row>0</xdr:row>
      <xdr:rowOff>135835</xdr:rowOff>
    </xdr:from>
    <xdr:to>
      <xdr:col>7</xdr:col>
      <xdr:colOff>27332</xdr:colOff>
      <xdr:row>1</xdr:row>
      <xdr:rowOff>183460</xdr:rowOff>
    </xdr:to>
    <xdr:pic>
      <xdr:nvPicPr>
        <xdr:cNvPr id="3" name="Picture 191"/>
        <xdr:cNvPicPr>
          <a:picLocks noChangeAspect="1" noChangeArrowheads="1"/>
        </xdr:cNvPicPr>
      </xdr:nvPicPr>
      <xdr:blipFill>
        <a:blip xmlns:r="http://schemas.openxmlformats.org/officeDocument/2006/relationships" r:embed="rId2" cstate="print"/>
        <a:srcRect/>
        <a:stretch>
          <a:fillRect/>
        </a:stretch>
      </xdr:blipFill>
      <xdr:spPr bwMode="auto">
        <a:xfrm>
          <a:off x="6146109" y="135835"/>
          <a:ext cx="1386923" cy="6858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609600</xdr:colOff>
      <xdr:row>3</xdr:row>
      <xdr:rowOff>152400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277600" cy="638175"/>
        </a:xfrm>
        <a:prstGeom prst="rect">
          <a:avLst/>
        </a:prstGeom>
        <a:noFill/>
        <a:ln w="1">
          <a:noFill/>
          <a:miter lim="800000"/>
          <a:headEnd/>
          <a:tailEnd type="none" w="med" len="med"/>
        </a:ln>
        <a:effectLst/>
      </xdr:spPr>
    </xdr:pic>
    <xdr:clientData/>
  </xdr:twoCellAnchor>
  <xdr:twoCellAnchor editAs="oneCell">
    <xdr:from>
      <xdr:col>1</xdr:col>
      <xdr:colOff>123825</xdr:colOff>
      <xdr:row>8</xdr:row>
      <xdr:rowOff>66675</xdr:rowOff>
    </xdr:from>
    <xdr:to>
      <xdr:col>9</xdr:col>
      <xdr:colOff>571500</xdr:colOff>
      <xdr:row>24</xdr:row>
      <xdr:rowOff>16045</xdr:rowOff>
    </xdr:to>
    <xdr:pic>
      <xdr:nvPicPr>
        <xdr:cNvPr id="3"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885825" y="1362075"/>
          <a:ext cx="6543675" cy="2540170"/>
        </a:xfrm>
        <a:prstGeom prst="rect">
          <a:avLst/>
        </a:prstGeom>
        <a:noFill/>
        <a:ln w="1">
          <a:noFill/>
          <a:miter lim="800000"/>
          <a:headEnd/>
          <a:tailEnd type="none" w="med" len="med"/>
        </a:ln>
        <a:effectLst/>
      </xdr:spPr>
    </xdr:pic>
    <xdr:clientData/>
  </xdr:twoCellAnchor>
  <xdr:twoCellAnchor editAs="oneCell">
    <xdr:from>
      <xdr:col>10</xdr:col>
      <xdr:colOff>657225</xdr:colOff>
      <xdr:row>12</xdr:row>
      <xdr:rowOff>38100</xdr:rowOff>
    </xdr:from>
    <xdr:to>
      <xdr:col>18</xdr:col>
      <xdr:colOff>154081</xdr:colOff>
      <xdr:row>29</xdr:row>
      <xdr:rowOff>28015</xdr:rowOff>
    </xdr:to>
    <xdr:pic>
      <xdr:nvPicPr>
        <xdr:cNvPr id="4" name="Picture 189"/>
        <xdr:cNvPicPr>
          <a:picLocks noChangeAspect="1" noChangeArrowheads="1"/>
        </xdr:cNvPicPr>
      </xdr:nvPicPr>
      <xdr:blipFill>
        <a:blip xmlns:r="http://schemas.openxmlformats.org/officeDocument/2006/relationships" r:embed="rId3" cstate="print"/>
        <a:srcRect/>
        <a:stretch>
          <a:fillRect/>
        </a:stretch>
      </xdr:blipFill>
      <xdr:spPr bwMode="auto">
        <a:xfrm>
          <a:off x="8277225" y="1981200"/>
          <a:ext cx="5592856" cy="274264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Tabelle1"/>
  <dimension ref="A1:IQ501"/>
  <sheetViews>
    <sheetView tabSelected="1" view="pageBreakPreview" zoomScale="85" zoomScaleNormal="100" zoomScaleSheetLayoutView="85" workbookViewId="0">
      <selection activeCell="D6" sqref="D6:G6"/>
    </sheetView>
  </sheetViews>
  <sheetFormatPr baseColWidth="10" defaultRowHeight="12"/>
  <cols>
    <col min="1" max="1" width="2.28515625" style="108" bestFit="1" customWidth="1"/>
    <col min="2" max="2" width="51.42578125" style="170" customWidth="1"/>
    <col min="3" max="3" width="10.5703125" style="170" hidden="1" customWidth="1"/>
    <col min="4" max="4" width="10.140625" style="170" customWidth="1"/>
    <col min="5" max="6" width="4.42578125" style="170" customWidth="1"/>
    <col min="7" max="7" width="9.42578125" style="170" customWidth="1"/>
    <col min="8" max="8" width="3.42578125" style="170" customWidth="1"/>
    <col min="9" max="9" width="11.42578125" style="169" hidden="1" customWidth="1"/>
    <col min="10" max="10" width="22.140625" style="169" hidden="1" customWidth="1"/>
    <col min="11" max="11" width="15" style="169" hidden="1" customWidth="1"/>
    <col min="12" max="12" width="22.5703125" style="169" hidden="1" customWidth="1"/>
    <col min="13" max="13" width="25.5703125" style="169" hidden="1" customWidth="1"/>
    <col min="14" max="14" width="21.5703125" style="169" hidden="1" customWidth="1"/>
    <col min="15" max="15" width="24.28515625" style="169" hidden="1" customWidth="1"/>
    <col min="16" max="16" width="23.85546875" style="169" hidden="1" customWidth="1"/>
    <col min="17" max="17" width="16.85546875" style="169" hidden="1" customWidth="1"/>
    <col min="18" max="18" width="21.140625" style="169" hidden="1" customWidth="1"/>
    <col min="19" max="20" width="11.42578125" style="169" hidden="1" customWidth="1"/>
    <col min="21" max="24" width="11.42578125" style="169" customWidth="1"/>
    <col min="25" max="30" width="11.42578125" style="170" customWidth="1"/>
    <col min="31" max="16384" width="11.42578125" style="170"/>
  </cols>
  <sheetData>
    <row r="1" spans="2:11" s="108" customFormat="1" ht="33" customHeight="1">
      <c r="B1" s="226" t="s">
        <v>552</v>
      </c>
      <c r="C1" s="226"/>
      <c r="D1" s="187"/>
      <c r="E1" s="187"/>
      <c r="F1" s="187"/>
      <c r="G1" s="187"/>
    </row>
    <row r="2" spans="2:11" s="108" customFormat="1" ht="10.5" customHeight="1">
      <c r="B2" s="173" t="s">
        <v>73</v>
      </c>
      <c r="C2" s="109"/>
      <c r="D2" s="236"/>
      <c r="E2" s="236"/>
      <c r="F2" s="236"/>
      <c r="G2" s="236"/>
      <c r="H2" s="109"/>
      <c r="I2" s="109"/>
      <c r="J2" s="109"/>
    </row>
    <row r="3" spans="2:11" s="108" customFormat="1" ht="15" customHeight="1">
      <c r="B3" s="233" t="s">
        <v>74</v>
      </c>
      <c r="C3" s="234"/>
      <c r="D3" s="234"/>
      <c r="E3" s="234"/>
      <c r="F3" s="234"/>
      <c r="G3" s="235"/>
      <c r="H3" s="110"/>
      <c r="I3" s="111"/>
      <c r="J3" s="112"/>
    </row>
    <row r="4" spans="2:11" s="108" customFormat="1">
      <c r="B4" s="113" t="s">
        <v>75</v>
      </c>
      <c r="C4" s="114"/>
      <c r="D4" s="230">
        <v>1</v>
      </c>
      <c r="E4" s="231"/>
      <c r="F4" s="231"/>
      <c r="G4" s="232"/>
      <c r="H4" s="110"/>
      <c r="I4" s="111"/>
    </row>
    <row r="5" spans="2:11" s="108" customFormat="1">
      <c r="B5" s="113" t="s">
        <v>76</v>
      </c>
      <c r="C5" s="114"/>
      <c r="D5" s="206">
        <v>24</v>
      </c>
      <c r="E5" s="207"/>
      <c r="F5" s="207"/>
      <c r="G5" s="208"/>
      <c r="H5" s="110"/>
      <c r="I5" s="111"/>
      <c r="J5" s="115">
        <v>12</v>
      </c>
    </row>
    <row r="6" spans="2:11" s="108" customFormat="1">
      <c r="B6" s="116" t="s">
        <v>77</v>
      </c>
      <c r="C6" s="117"/>
      <c r="D6" s="209">
        <v>24</v>
      </c>
      <c r="E6" s="210"/>
      <c r="F6" s="210"/>
      <c r="G6" s="211"/>
      <c r="H6" s="118" t="str">
        <f>IF(D6&gt;24,"Please enter a value between 0 and 24","")</f>
        <v/>
      </c>
      <c r="J6" s="115">
        <v>24</v>
      </c>
    </row>
    <row r="7" spans="2:11" s="108" customFormat="1">
      <c r="B7" s="116" t="s">
        <v>78</v>
      </c>
      <c r="C7" s="117"/>
      <c r="D7" s="237">
        <f>D4*D5</f>
        <v>24</v>
      </c>
      <c r="E7" s="238"/>
      <c r="F7" s="238"/>
      <c r="G7" s="239"/>
      <c r="H7" s="119"/>
      <c r="J7" s="115">
        <v>48</v>
      </c>
    </row>
    <row r="8" spans="2:11" s="108" customFormat="1">
      <c r="B8" s="120" t="s">
        <v>79</v>
      </c>
      <c r="C8" s="121"/>
      <c r="D8" s="222">
        <f>IF(D6&gt;24,"Fehler!!!",D7*D6)</f>
        <v>576</v>
      </c>
      <c r="E8" s="223"/>
      <c r="F8" s="223"/>
      <c r="G8" s="224"/>
      <c r="H8" s="240"/>
      <c r="I8" s="240"/>
    </row>
    <row r="9" spans="2:11" s="108" customFormat="1" ht="6.75" customHeight="1">
      <c r="B9" s="212"/>
      <c r="C9" s="212"/>
      <c r="D9" s="212"/>
      <c r="E9" s="212"/>
      <c r="F9" s="212"/>
      <c r="G9" s="212"/>
      <c r="H9" s="122"/>
      <c r="I9" s="122"/>
    </row>
    <row r="10" spans="2:11" s="108" customFormat="1">
      <c r="B10" s="233" t="s">
        <v>94</v>
      </c>
      <c r="C10" s="234"/>
      <c r="D10" s="234"/>
      <c r="E10" s="234"/>
      <c r="F10" s="234"/>
      <c r="G10" s="235"/>
      <c r="H10" s="107"/>
      <c r="I10" s="123"/>
      <c r="K10" s="107"/>
    </row>
    <row r="11" spans="2:11" s="108" customFormat="1" ht="13.5">
      <c r="B11" s="120" t="s">
        <v>553</v>
      </c>
      <c r="C11" s="124"/>
      <c r="D11" s="227">
        <v>200</v>
      </c>
      <c r="E11" s="228"/>
      <c r="F11" s="228"/>
      <c r="G11" s="229"/>
      <c r="H11" s="125"/>
      <c r="I11" s="126"/>
      <c r="K11" s="107"/>
    </row>
    <row r="12" spans="2:11" s="108" customFormat="1">
      <c r="B12" s="127" t="s">
        <v>80</v>
      </c>
      <c r="C12" s="128"/>
      <c r="D12" s="219">
        <v>0.1</v>
      </c>
      <c r="E12" s="220"/>
      <c r="F12" s="220"/>
      <c r="G12" s="221"/>
      <c r="H12" s="107"/>
      <c r="I12" s="107"/>
      <c r="K12" s="107"/>
    </row>
    <row r="13" spans="2:11" s="108" customFormat="1">
      <c r="B13" s="129" t="s">
        <v>81</v>
      </c>
      <c r="C13" s="128"/>
      <c r="D13" s="219" t="s">
        <v>32</v>
      </c>
      <c r="E13" s="220"/>
      <c r="F13" s="220"/>
      <c r="G13" s="221"/>
      <c r="H13" s="107"/>
      <c r="I13" s="107"/>
      <c r="K13" s="107"/>
    </row>
    <row r="14" spans="2:11" s="108" customFormat="1">
      <c r="B14" s="120" t="s">
        <v>82</v>
      </c>
      <c r="C14" s="130"/>
      <c r="D14" s="222">
        <f>MIN(D34:E45)/30*1000</f>
        <v>96.72</v>
      </c>
      <c r="E14" s="223"/>
      <c r="F14" s="223"/>
      <c r="G14" s="224"/>
      <c r="H14" s="107"/>
      <c r="I14" s="225"/>
      <c r="J14" s="225"/>
      <c r="K14" s="107"/>
    </row>
    <row r="15" spans="2:11" s="108" customFormat="1">
      <c r="B15" s="127" t="s">
        <v>84</v>
      </c>
      <c r="C15" s="130"/>
      <c r="D15" s="216">
        <f>SUM(D34:E45)</f>
        <v>191.17619999999999</v>
      </c>
      <c r="E15" s="217"/>
      <c r="F15" s="217"/>
      <c r="G15" s="218"/>
      <c r="H15" s="107"/>
      <c r="I15" s="131"/>
      <c r="J15" s="131"/>
      <c r="K15" s="107"/>
    </row>
    <row r="16" spans="2:11" s="108" customFormat="1">
      <c r="B16" s="127" t="s">
        <v>85</v>
      </c>
      <c r="C16" s="130"/>
      <c r="D16" s="188">
        <f>D11/120</f>
        <v>1.6666666666666667</v>
      </c>
      <c r="E16" s="189"/>
      <c r="F16" s="190">
        <f>D16/0.0929</f>
        <v>17.94043774668102</v>
      </c>
      <c r="G16" s="191"/>
      <c r="H16" s="107"/>
      <c r="I16" s="107"/>
      <c r="J16" s="107"/>
      <c r="K16" s="107"/>
    </row>
    <row r="17" spans="2:18" s="108" customFormat="1">
      <c r="B17" s="120" t="s">
        <v>549</v>
      </c>
      <c r="C17" s="132"/>
      <c r="D17" s="253">
        <v>45</v>
      </c>
      <c r="E17" s="254"/>
      <c r="F17" s="254"/>
      <c r="G17" s="255"/>
      <c r="H17" s="107"/>
      <c r="I17" s="107"/>
      <c r="J17" s="107">
        <f>IF(D17&gt;=0,IF(D17&lt;=90,D17,"NA"),"NA")</f>
        <v>45</v>
      </c>
      <c r="K17" s="107"/>
    </row>
    <row r="18" spans="2:18" s="108" customFormat="1" ht="9.75" customHeight="1">
      <c r="B18" s="196"/>
      <c r="C18" s="196"/>
      <c r="D18" s="197"/>
      <c r="E18" s="197"/>
      <c r="F18" s="197"/>
      <c r="G18" s="197"/>
      <c r="H18" s="107"/>
      <c r="I18" s="107"/>
      <c r="J18" s="107"/>
      <c r="K18" s="107"/>
    </row>
    <row r="19" spans="2:18" s="108" customFormat="1" ht="15" hidden="1" customHeight="1">
      <c r="B19" s="133" t="s">
        <v>25</v>
      </c>
      <c r="C19" s="132"/>
      <c r="D19" s="193"/>
      <c r="E19" s="194"/>
      <c r="F19" s="194"/>
      <c r="G19" s="195"/>
      <c r="H19" s="107"/>
      <c r="I19" s="107"/>
      <c r="J19" s="107"/>
      <c r="K19" s="107"/>
      <c r="L19" s="134" t="s">
        <v>186</v>
      </c>
      <c r="M19" s="134" t="s">
        <v>183</v>
      </c>
      <c r="N19" s="134" t="s">
        <v>187</v>
      </c>
      <c r="O19" s="134" t="s">
        <v>176</v>
      </c>
      <c r="P19" s="134" t="s">
        <v>177</v>
      </c>
      <c r="Q19" s="134" t="s">
        <v>179</v>
      </c>
      <c r="R19" s="134" t="s">
        <v>180</v>
      </c>
    </row>
    <row r="20" spans="2:18" s="108" customFormat="1" ht="15" hidden="1" customHeight="1">
      <c r="B20" s="135" t="s">
        <v>14</v>
      </c>
      <c r="C20" s="121"/>
      <c r="D20" s="192">
        <f>VLOOKUP(D13,B75:N199,2,FALSE)</f>
        <v>0.62</v>
      </c>
      <c r="E20" s="192"/>
      <c r="F20" s="192"/>
      <c r="G20" s="192"/>
      <c r="H20" s="107"/>
      <c r="I20" s="107"/>
      <c r="J20" s="107"/>
      <c r="K20" s="107"/>
      <c r="L20" s="136">
        <v>0</v>
      </c>
      <c r="M20" s="137">
        <v>0</v>
      </c>
      <c r="N20" s="137">
        <v>0</v>
      </c>
      <c r="O20" s="138" t="s">
        <v>189</v>
      </c>
      <c r="P20" s="138">
        <v>0</v>
      </c>
      <c r="Q20" s="139" t="s">
        <v>188</v>
      </c>
      <c r="R20" s="138">
        <v>0</v>
      </c>
    </row>
    <row r="21" spans="2:18" s="108" customFormat="1" hidden="1">
      <c r="B21" s="135" t="s">
        <v>15</v>
      </c>
      <c r="C21" s="121"/>
      <c r="D21" s="183">
        <f>VLOOKUP(D13,B75:N199,3,FALSE)</f>
        <v>1.27</v>
      </c>
      <c r="E21" s="184"/>
      <c r="F21" s="184"/>
      <c r="G21" s="185"/>
      <c r="H21" s="107"/>
      <c r="I21" s="107"/>
      <c r="J21" s="107"/>
      <c r="K21" s="107"/>
      <c r="L21" s="136">
        <f>R21*24</f>
        <v>840</v>
      </c>
      <c r="M21" s="137">
        <f t="shared" ref="M21:M32" si="0">R21*24*30/1000</f>
        <v>25.2</v>
      </c>
      <c r="N21" s="137">
        <f>M21*12</f>
        <v>302.39999999999998</v>
      </c>
      <c r="O21" s="138" t="s">
        <v>178</v>
      </c>
      <c r="P21" s="138">
        <v>35</v>
      </c>
      <c r="Q21" s="138">
        <v>1</v>
      </c>
      <c r="R21" s="138">
        <f>IF($D$5=48,1,P21*Q21)</f>
        <v>35</v>
      </c>
    </row>
    <row r="22" spans="2:18" s="108" customFormat="1" hidden="1">
      <c r="B22" s="135" t="s">
        <v>16</v>
      </c>
      <c r="C22" s="121"/>
      <c r="D22" s="183">
        <f>VLOOKUP(D13,B75:N199,4,FALSE)</f>
        <v>2.5099999999999998</v>
      </c>
      <c r="E22" s="184"/>
      <c r="F22" s="184"/>
      <c r="G22" s="185"/>
      <c r="H22" s="107"/>
      <c r="I22" s="107"/>
      <c r="J22" s="107"/>
      <c r="K22" s="107"/>
      <c r="L22" s="136">
        <f t="shared" ref="L22:L32" si="1">R22*24</f>
        <v>2280</v>
      </c>
      <c r="M22" s="137">
        <f t="shared" si="0"/>
        <v>68.400000000000006</v>
      </c>
      <c r="N22" s="137">
        <f t="shared" ref="N22:N25" si="2">M22*12</f>
        <v>820.80000000000007</v>
      </c>
      <c r="O22" s="138" t="s">
        <v>181</v>
      </c>
      <c r="P22" s="138">
        <v>95</v>
      </c>
      <c r="Q22" s="138">
        <v>1</v>
      </c>
      <c r="R22" s="138">
        <f>IF($D$5=48,1,P22*Q22)</f>
        <v>95</v>
      </c>
    </row>
    <row r="23" spans="2:18" s="108" customFormat="1" hidden="1">
      <c r="B23" s="135" t="s">
        <v>17</v>
      </c>
      <c r="C23" s="121"/>
      <c r="D23" s="183">
        <f>VLOOKUP(D13,B75:N199,5,FALSE)</f>
        <v>3.96</v>
      </c>
      <c r="E23" s="184"/>
      <c r="F23" s="184"/>
      <c r="G23" s="185"/>
      <c r="H23" s="107"/>
      <c r="I23" s="107"/>
      <c r="J23" s="107"/>
      <c r="K23" s="107"/>
      <c r="L23" s="136">
        <f t="shared" si="1"/>
        <v>4560</v>
      </c>
      <c r="M23" s="137">
        <f t="shared" si="0"/>
        <v>136.80000000000001</v>
      </c>
      <c r="N23" s="137">
        <f t="shared" si="2"/>
        <v>1641.6000000000001</v>
      </c>
      <c r="O23" s="138" t="s">
        <v>181</v>
      </c>
      <c r="P23" s="138">
        <v>95</v>
      </c>
      <c r="Q23" s="138">
        <v>2</v>
      </c>
      <c r="R23" s="138">
        <f t="shared" ref="R23:R24" si="3">IF($D$5=48,1,P23*Q23)</f>
        <v>190</v>
      </c>
    </row>
    <row r="24" spans="2:18" s="108" customFormat="1" hidden="1">
      <c r="B24" s="135" t="s">
        <v>4</v>
      </c>
      <c r="C24" s="121"/>
      <c r="D24" s="183">
        <f>VLOOKUP(D13,B75:N199,6,FALSE)</f>
        <v>5.33</v>
      </c>
      <c r="E24" s="184"/>
      <c r="F24" s="184"/>
      <c r="G24" s="185"/>
      <c r="H24" s="107"/>
      <c r="I24" s="107"/>
      <c r="J24" s="107"/>
      <c r="K24" s="107"/>
      <c r="L24" s="136">
        <f t="shared" si="1"/>
        <v>6840</v>
      </c>
      <c r="M24" s="137">
        <f t="shared" si="0"/>
        <v>205.2</v>
      </c>
      <c r="N24" s="137">
        <f t="shared" si="2"/>
        <v>2462.3999999999996</v>
      </c>
      <c r="O24" s="138" t="s">
        <v>181</v>
      </c>
      <c r="P24" s="138">
        <v>95</v>
      </c>
      <c r="Q24" s="138">
        <v>3</v>
      </c>
      <c r="R24" s="138">
        <f t="shared" si="3"/>
        <v>285</v>
      </c>
    </row>
    <row r="25" spans="2:18" s="108" customFormat="1" hidden="1">
      <c r="B25" s="135" t="s">
        <v>18</v>
      </c>
      <c r="C25" s="121"/>
      <c r="D25" s="183">
        <f>VLOOKUP(D13,B75:N199,7,FALSE)</f>
        <v>5.51</v>
      </c>
      <c r="E25" s="184"/>
      <c r="F25" s="184"/>
      <c r="G25" s="185"/>
      <c r="H25" s="107"/>
      <c r="I25" s="107"/>
      <c r="J25" s="107"/>
      <c r="K25" s="107"/>
      <c r="L25" s="136">
        <f t="shared" si="1"/>
        <v>6840</v>
      </c>
      <c r="M25" s="137">
        <f t="shared" si="0"/>
        <v>205.2</v>
      </c>
      <c r="N25" s="137">
        <f t="shared" si="2"/>
        <v>2462.3999999999996</v>
      </c>
      <c r="O25" s="138" t="s">
        <v>181</v>
      </c>
      <c r="P25" s="138">
        <v>95</v>
      </c>
      <c r="Q25" s="138">
        <f>IF($D$5=24,3,4)</f>
        <v>3</v>
      </c>
      <c r="R25" s="138">
        <f>IF($D$5=48,1,P25*Q25)</f>
        <v>285</v>
      </c>
    </row>
    <row r="26" spans="2:18" s="108" customFormat="1" hidden="1">
      <c r="B26" s="135" t="s">
        <v>19</v>
      </c>
      <c r="C26" s="121"/>
      <c r="D26" s="183">
        <f>VLOOKUP(D13,B75:N199,8,FALSE)</f>
        <v>5.28</v>
      </c>
      <c r="E26" s="184"/>
      <c r="F26" s="184"/>
      <c r="G26" s="185"/>
      <c r="H26" s="107"/>
      <c r="I26" s="107"/>
      <c r="J26" s="107"/>
      <c r="K26" s="107"/>
      <c r="L26" s="136">
        <f t="shared" si="1"/>
        <v>6840</v>
      </c>
      <c r="M26" s="137">
        <f t="shared" si="0"/>
        <v>205.2</v>
      </c>
      <c r="N26" s="137">
        <f t="shared" ref="N26:N32" si="4">M26*12</f>
        <v>2462.3999999999996</v>
      </c>
      <c r="O26" s="138" t="s">
        <v>181</v>
      </c>
      <c r="P26" s="138">
        <v>95</v>
      </c>
      <c r="Q26" s="138">
        <f>IF($D$5=24,3,5)</f>
        <v>3</v>
      </c>
      <c r="R26" s="138">
        <f>IF($D$5=48,1,IF($D$5=24,285,465))</f>
        <v>285</v>
      </c>
    </row>
    <row r="27" spans="2:18" s="108" customFormat="1" hidden="1">
      <c r="B27" s="135" t="s">
        <v>20</v>
      </c>
      <c r="C27" s="121"/>
      <c r="D27" s="183">
        <f>VLOOKUP(D13,B75:N199,9,FALSE)</f>
        <v>4.46</v>
      </c>
      <c r="E27" s="184"/>
      <c r="F27" s="184"/>
      <c r="G27" s="185"/>
      <c r="H27" s="107"/>
      <c r="I27" s="107"/>
      <c r="J27" s="107"/>
      <c r="K27" s="107"/>
      <c r="L27" s="136">
        <f t="shared" si="1"/>
        <v>11184</v>
      </c>
      <c r="M27" s="137">
        <f t="shared" si="0"/>
        <v>335.52</v>
      </c>
      <c r="N27" s="137">
        <f t="shared" si="4"/>
        <v>4026.24</v>
      </c>
      <c r="O27" s="138" t="s">
        <v>182</v>
      </c>
      <c r="P27" s="138">
        <v>466</v>
      </c>
      <c r="Q27" s="138">
        <v>1</v>
      </c>
      <c r="R27" s="138">
        <f>IF($D$5=12,0,P27*Q27)</f>
        <v>466</v>
      </c>
    </row>
    <row r="28" spans="2:18" s="108" customFormat="1" hidden="1">
      <c r="B28" s="135" t="s">
        <v>21</v>
      </c>
      <c r="C28" s="121"/>
      <c r="D28" s="183">
        <f>VLOOKUP(D13,B75:N199,10,FALSE)</f>
        <v>2.97</v>
      </c>
      <c r="E28" s="184"/>
      <c r="F28" s="184"/>
      <c r="G28" s="185"/>
      <c r="H28" s="107"/>
      <c r="I28" s="107"/>
      <c r="J28" s="107"/>
      <c r="K28" s="107"/>
      <c r="L28" s="136">
        <f t="shared" si="1"/>
        <v>22368</v>
      </c>
      <c r="M28" s="137">
        <f t="shared" si="0"/>
        <v>671.04</v>
      </c>
      <c r="N28" s="137">
        <f t="shared" si="4"/>
        <v>8052.48</v>
      </c>
      <c r="O28" s="138" t="s">
        <v>182</v>
      </c>
      <c r="P28" s="138">
        <v>466</v>
      </c>
      <c r="Q28" s="138">
        <v>2</v>
      </c>
      <c r="R28" s="138">
        <f t="shared" ref="R28:R31" si="5">IF($D$5=12,0,P28*Q28)</f>
        <v>932</v>
      </c>
    </row>
    <row r="29" spans="2:18" s="108" customFormat="1" hidden="1">
      <c r="B29" s="135" t="s">
        <v>22</v>
      </c>
      <c r="C29" s="121"/>
      <c r="D29" s="183">
        <f>VLOOKUP(D13,B75:N199,11,FALSE)</f>
        <v>1.61</v>
      </c>
      <c r="E29" s="184"/>
      <c r="F29" s="184"/>
      <c r="G29" s="185"/>
      <c r="H29" s="107"/>
      <c r="I29" s="107"/>
      <c r="J29" s="107"/>
      <c r="K29" s="107"/>
      <c r="L29" s="136">
        <f t="shared" si="1"/>
        <v>33552</v>
      </c>
      <c r="M29" s="137">
        <f t="shared" si="0"/>
        <v>1006.56</v>
      </c>
      <c r="N29" s="137">
        <f t="shared" si="4"/>
        <v>12078.72</v>
      </c>
      <c r="O29" s="138" t="s">
        <v>182</v>
      </c>
      <c r="P29" s="138">
        <v>466</v>
      </c>
      <c r="Q29" s="138">
        <v>3</v>
      </c>
      <c r="R29" s="138">
        <f t="shared" si="5"/>
        <v>1398</v>
      </c>
    </row>
    <row r="30" spans="2:18" s="108" customFormat="1" hidden="1">
      <c r="B30" s="135" t="s">
        <v>23</v>
      </c>
      <c r="C30" s="121"/>
      <c r="D30" s="183">
        <f>VLOOKUP(D13,B75:N199,12,FALSE)</f>
        <v>0.77</v>
      </c>
      <c r="E30" s="184"/>
      <c r="F30" s="184"/>
      <c r="G30" s="185"/>
      <c r="H30" s="107"/>
      <c r="I30" s="107"/>
      <c r="J30" s="107"/>
      <c r="K30" s="107"/>
      <c r="L30" s="136">
        <f t="shared" si="1"/>
        <v>44736</v>
      </c>
      <c r="M30" s="137">
        <f t="shared" si="0"/>
        <v>1342.08</v>
      </c>
      <c r="N30" s="137">
        <f t="shared" si="4"/>
        <v>16104.96</v>
      </c>
      <c r="O30" s="138" t="s">
        <v>182</v>
      </c>
      <c r="P30" s="138">
        <v>466</v>
      </c>
      <c r="Q30" s="138">
        <v>4</v>
      </c>
      <c r="R30" s="138">
        <f t="shared" si="5"/>
        <v>1864</v>
      </c>
    </row>
    <row r="31" spans="2:18" s="108" customFormat="1" hidden="1">
      <c r="B31" s="135" t="s">
        <v>24</v>
      </c>
      <c r="C31" s="121"/>
      <c r="D31" s="183">
        <f>VLOOKUP(D13,B75:N199,13,FALSE)</f>
        <v>0.52</v>
      </c>
      <c r="E31" s="184"/>
      <c r="F31" s="184"/>
      <c r="G31" s="185"/>
      <c r="H31" s="107"/>
      <c r="I31" s="107"/>
      <c r="J31" s="107"/>
      <c r="K31" s="107"/>
      <c r="L31" s="140">
        <f t="shared" si="1"/>
        <v>55920</v>
      </c>
      <c r="M31" s="137">
        <f t="shared" si="0"/>
        <v>1677.6</v>
      </c>
      <c r="N31" s="137">
        <f t="shared" si="4"/>
        <v>20131.199999999997</v>
      </c>
      <c r="O31" s="138" t="s">
        <v>182</v>
      </c>
      <c r="P31" s="138">
        <v>466</v>
      </c>
      <c r="Q31" s="138">
        <v>5</v>
      </c>
      <c r="R31" s="138">
        <f t="shared" si="5"/>
        <v>2330</v>
      </c>
    </row>
    <row r="32" spans="2:18" s="108" customFormat="1" ht="15" hidden="1" customHeight="1">
      <c r="B32" s="141"/>
      <c r="C32" s="141"/>
      <c r="D32" s="141"/>
      <c r="E32" s="141"/>
      <c r="F32" s="141"/>
      <c r="G32" s="141"/>
      <c r="H32" s="107"/>
      <c r="I32" s="107"/>
      <c r="J32" s="107"/>
      <c r="K32" s="107"/>
      <c r="L32" s="140">
        <f t="shared" si="1"/>
        <v>1200000</v>
      </c>
      <c r="M32" s="137">
        <f t="shared" si="0"/>
        <v>36000</v>
      </c>
      <c r="N32" s="137">
        <f t="shared" si="4"/>
        <v>432000</v>
      </c>
      <c r="O32" s="138" t="s">
        <v>196</v>
      </c>
      <c r="P32" s="138">
        <v>0</v>
      </c>
      <c r="Q32" s="139" t="s">
        <v>188</v>
      </c>
      <c r="R32" s="138">
        <f>IF(D5=12,5000,50000)</f>
        <v>50000</v>
      </c>
    </row>
    <row r="33" spans="2:20" s="108" customFormat="1" ht="15" customHeight="1">
      <c r="B33" s="176" t="s">
        <v>13</v>
      </c>
      <c r="C33" s="177"/>
      <c r="D33" s="186" t="s">
        <v>93</v>
      </c>
      <c r="E33" s="186"/>
      <c r="F33" s="186" t="s">
        <v>74</v>
      </c>
      <c r="G33" s="186"/>
      <c r="J33" s="174" t="s">
        <v>26</v>
      </c>
      <c r="K33" s="172"/>
    </row>
    <row r="34" spans="2:20" s="108" customFormat="1" ht="38.25" customHeight="1">
      <c r="B34" s="178" t="s">
        <v>14</v>
      </c>
      <c r="C34" s="177"/>
      <c r="D34" s="182">
        <f>$D$11*D20*(1-$D$12)*31/1000</f>
        <v>3.4596000000000005</v>
      </c>
      <c r="E34" s="182"/>
      <c r="F34" s="182">
        <f>$D$8*31/1000</f>
        <v>17.856000000000002</v>
      </c>
      <c r="G34" s="182"/>
      <c r="J34" s="142">
        <f t="shared" ref="J34:J45" si="6">IF(D34&lt;F34,F34-D34,0)</f>
        <v>14.396400000000002</v>
      </c>
      <c r="K34" s="172"/>
    </row>
    <row r="35" spans="2:20" s="108" customFormat="1">
      <c r="B35" s="178" t="s">
        <v>15</v>
      </c>
      <c r="C35" s="177"/>
      <c r="D35" s="182">
        <f>$D$11*D21*(1-$D$12)*28/1000</f>
        <v>6.4008000000000003</v>
      </c>
      <c r="E35" s="182"/>
      <c r="F35" s="182">
        <f>$D$8*28/1000</f>
        <v>16.128</v>
      </c>
      <c r="G35" s="182"/>
      <c r="J35" s="142">
        <f t="shared" si="6"/>
        <v>9.7271999999999998</v>
      </c>
      <c r="K35" s="172"/>
    </row>
    <row r="36" spans="2:20" s="108" customFormat="1">
      <c r="B36" s="178" t="s">
        <v>95</v>
      </c>
      <c r="C36" s="177"/>
      <c r="D36" s="182">
        <f>$D$11*D22*(1-$D$12)*31/1000</f>
        <v>14.005799999999999</v>
      </c>
      <c r="E36" s="182"/>
      <c r="F36" s="182">
        <f>$D$8*31/1000</f>
        <v>17.856000000000002</v>
      </c>
      <c r="G36" s="182"/>
      <c r="J36" s="142">
        <f t="shared" si="6"/>
        <v>3.8502000000000027</v>
      </c>
      <c r="K36" s="172"/>
      <c r="M36" s="256">
        <v>12</v>
      </c>
      <c r="N36" s="257"/>
      <c r="O36" s="256">
        <v>24</v>
      </c>
      <c r="P36" s="257"/>
      <c r="Q36" s="256">
        <v>48</v>
      </c>
      <c r="R36" s="257"/>
      <c r="S36" s="256" t="s">
        <v>190</v>
      </c>
      <c r="T36" s="257"/>
    </row>
    <row r="37" spans="2:20" s="108" customFormat="1">
      <c r="B37" s="178" t="s">
        <v>17</v>
      </c>
      <c r="C37" s="177"/>
      <c r="D37" s="182">
        <f t="shared" ref="D37:D44" si="7">$D$11*D23*(1-$D$12)*30/1000</f>
        <v>21.384000000000004</v>
      </c>
      <c r="E37" s="182"/>
      <c r="F37" s="182">
        <f t="shared" ref="F37:F44" si="8">$D$8*30/1000</f>
        <v>17.28</v>
      </c>
      <c r="G37" s="182"/>
      <c r="J37" s="142">
        <f t="shared" si="6"/>
        <v>0</v>
      </c>
      <c r="K37" s="172"/>
      <c r="L37" s="138" t="s">
        <v>178</v>
      </c>
      <c r="M37" s="175">
        <v>50</v>
      </c>
      <c r="N37" s="143">
        <v>200</v>
      </c>
      <c r="O37" s="175">
        <v>30</v>
      </c>
      <c r="P37" s="143">
        <v>100</v>
      </c>
      <c r="Q37" s="175">
        <v>0</v>
      </c>
      <c r="R37" s="175">
        <v>0</v>
      </c>
      <c r="S37" s="175">
        <f>IF($D$5=24,O37,IF($D$5=12,M37,"0"))</f>
        <v>30</v>
      </c>
      <c r="T37" s="175">
        <f>IF($D$5=24,P37,IF($D$5=12,N37,"0"))</f>
        <v>100</v>
      </c>
    </row>
    <row r="38" spans="2:20" s="108" customFormat="1">
      <c r="B38" s="178" t="s">
        <v>96</v>
      </c>
      <c r="C38" s="177"/>
      <c r="D38" s="182">
        <f>$D$11*D24*(1-$D$12)*31/1000</f>
        <v>29.741399999999999</v>
      </c>
      <c r="E38" s="182"/>
      <c r="F38" s="182">
        <f>$D$8*31/1000</f>
        <v>17.856000000000002</v>
      </c>
      <c r="G38" s="182"/>
      <c r="J38" s="142">
        <f t="shared" si="6"/>
        <v>0</v>
      </c>
      <c r="K38" s="172"/>
      <c r="L38" s="138" t="s">
        <v>181</v>
      </c>
      <c r="M38" s="175">
        <v>100</v>
      </c>
      <c r="N38" s="143">
        <v>400</v>
      </c>
      <c r="O38" s="175">
        <v>60</v>
      </c>
      <c r="P38" s="143">
        <v>200</v>
      </c>
      <c r="Q38" s="175">
        <v>0</v>
      </c>
      <c r="R38" s="175">
        <v>0</v>
      </c>
      <c r="S38" s="175">
        <f>IF($D$5=24,O38,IF($D$5=12,M38,"0"))</f>
        <v>60</v>
      </c>
      <c r="T38" s="175">
        <f>IF($D$5=24,P38,IF($D$5=12,N38,"0"))</f>
        <v>200</v>
      </c>
    </row>
    <row r="39" spans="2:20" s="108" customFormat="1">
      <c r="B39" s="178" t="s">
        <v>18</v>
      </c>
      <c r="C39" s="177"/>
      <c r="D39" s="182">
        <f t="shared" si="7"/>
        <v>29.754000000000005</v>
      </c>
      <c r="E39" s="182"/>
      <c r="F39" s="182">
        <f t="shared" si="8"/>
        <v>17.28</v>
      </c>
      <c r="G39" s="182"/>
      <c r="J39" s="142">
        <f t="shared" si="6"/>
        <v>0</v>
      </c>
      <c r="K39" s="172"/>
      <c r="L39" s="138" t="s">
        <v>182</v>
      </c>
      <c r="M39" s="175">
        <v>0</v>
      </c>
      <c r="N39" s="175">
        <v>0</v>
      </c>
      <c r="O39" s="175">
        <v>100</v>
      </c>
      <c r="P39" s="143">
        <v>800</v>
      </c>
      <c r="Q39" s="175">
        <v>50</v>
      </c>
      <c r="R39" s="143">
        <v>400</v>
      </c>
      <c r="S39" s="175">
        <f>IF($D$5=24,O39,IF($D$5=48,Q39,"0"))</f>
        <v>100</v>
      </c>
      <c r="T39" s="175">
        <f>IF($D$5=24,P39,IF($D$5=48,R39,"0"))</f>
        <v>800</v>
      </c>
    </row>
    <row r="40" spans="2:20" s="108" customFormat="1">
      <c r="B40" s="178" t="s">
        <v>19</v>
      </c>
      <c r="C40" s="177"/>
      <c r="D40" s="182">
        <f>$D$11*D26*(1-$D$12)*31/1000</f>
        <v>29.462399999999999</v>
      </c>
      <c r="E40" s="182"/>
      <c r="F40" s="182">
        <f>$D$8*31/1000</f>
        <v>17.856000000000002</v>
      </c>
      <c r="G40" s="182"/>
      <c r="J40" s="142">
        <f t="shared" si="6"/>
        <v>0</v>
      </c>
      <c r="K40" s="172"/>
      <c r="L40" s="138" t="s">
        <v>189</v>
      </c>
      <c r="M40" s="171" t="str">
        <f>IF(M33=0,"n/a",(IF(#REF!&gt;25640,"not possible",L40*M34/(M33/360*1000))))</f>
        <v>n/a</v>
      </c>
      <c r="N40" s="171" t="str">
        <f>IF(N33=0,"n/a",(IF(#REF!&gt;25640,"not possible",M40*N34/(N33/360*1000))))</f>
        <v>n/a</v>
      </c>
      <c r="O40" s="171" t="str">
        <f>IF(O33=0,"n/a",(IF(#REF!&gt;25640,"not possible",N40*O34/(O33/360*1000))))</f>
        <v>n/a</v>
      </c>
      <c r="P40" s="171" t="str">
        <f>IF(P33=0,"n/a",(IF(#REF!&gt;25640,"not possible",O40*P34/(P33/360*1000))))</f>
        <v>n/a</v>
      </c>
      <c r="Q40" s="171" t="str">
        <f>IF(Q33=0,"n/a",(IF(#REF!&gt;25640,"not possible",P40*Q34/(Q33/360*1000))))</f>
        <v>n/a</v>
      </c>
      <c r="R40" s="171" t="str">
        <f>IF(R33=0,"n/a",(IF(#REF!&gt;25640,"not possible",Q40*R34/(R33/360*1000))))</f>
        <v>n/a</v>
      </c>
      <c r="S40" s="171" t="str">
        <f t="shared" ref="O40:T41" si="9">IF(S33=0,"n/a",(IF(S32&gt;25640,"not possible",R40*S34/(S33/360*1000))))</f>
        <v>n/a</v>
      </c>
      <c r="T40" s="171" t="str">
        <f t="shared" si="9"/>
        <v>n/a</v>
      </c>
    </row>
    <row r="41" spans="2:20" s="108" customFormat="1">
      <c r="B41" s="178" t="s">
        <v>20</v>
      </c>
      <c r="C41" s="177"/>
      <c r="D41" s="182">
        <f>$D$11*D27*(1-$D$12)*31/1000</f>
        <v>24.886800000000004</v>
      </c>
      <c r="E41" s="182"/>
      <c r="F41" s="182">
        <f>$D$8*31/1000</f>
        <v>17.856000000000002</v>
      </c>
      <c r="G41" s="182"/>
      <c r="J41" s="142">
        <f t="shared" si="6"/>
        <v>0</v>
      </c>
      <c r="K41" s="172"/>
      <c r="L41" s="138" t="s">
        <v>196</v>
      </c>
      <c r="M41" s="171" t="str">
        <f>IF(M34=0,"n/a",(IF(M33&gt;25640,"not possible",L41*M35/(M34/360*1000))))</f>
        <v>n/a</v>
      </c>
      <c r="N41" s="171" t="str">
        <f>IF(N34=0,"n/a",(IF(N33&gt;25640,"not possible",M41*N35/(N34/360*1000))))</f>
        <v>n/a</v>
      </c>
      <c r="O41" s="171" t="str">
        <f t="shared" si="9"/>
        <v>n/a</v>
      </c>
      <c r="P41" s="171" t="str">
        <f t="shared" si="9"/>
        <v>n/a</v>
      </c>
      <c r="Q41" s="171" t="str">
        <f t="shared" si="9"/>
        <v>n/a</v>
      </c>
      <c r="R41" s="171" t="str">
        <f t="shared" si="9"/>
        <v>n/a</v>
      </c>
      <c r="S41" s="171" t="str">
        <f t="shared" si="9"/>
        <v>n/a</v>
      </c>
      <c r="T41" s="171" t="str">
        <f t="shared" si="9"/>
        <v>n/a</v>
      </c>
    </row>
    <row r="42" spans="2:20" s="108" customFormat="1">
      <c r="B42" s="178" t="s">
        <v>21</v>
      </c>
      <c r="C42" s="177"/>
      <c r="D42" s="182">
        <f t="shared" si="7"/>
        <v>16.038</v>
      </c>
      <c r="E42" s="182"/>
      <c r="F42" s="182">
        <f t="shared" si="8"/>
        <v>17.28</v>
      </c>
      <c r="G42" s="182"/>
      <c r="J42" s="142">
        <f t="shared" si="6"/>
        <v>1.2420000000000009</v>
      </c>
      <c r="K42" s="172"/>
    </row>
    <row r="43" spans="2:20" s="108" customFormat="1" ht="22.5" customHeight="1">
      <c r="B43" s="178" t="s">
        <v>97</v>
      </c>
      <c r="C43" s="177"/>
      <c r="D43" s="182">
        <f>$D$11*D29*(1-$D$12)*31/1000</f>
        <v>8.9838000000000005</v>
      </c>
      <c r="E43" s="182"/>
      <c r="F43" s="182">
        <f>$D$8*31/1000</f>
        <v>17.856000000000002</v>
      </c>
      <c r="G43" s="182"/>
      <c r="J43" s="142">
        <f t="shared" si="6"/>
        <v>8.8722000000000012</v>
      </c>
      <c r="K43" s="172"/>
    </row>
    <row r="44" spans="2:20" s="108" customFormat="1" ht="3" customHeight="1">
      <c r="B44" s="178" t="s">
        <v>23</v>
      </c>
      <c r="C44" s="177"/>
      <c r="D44" s="182">
        <f t="shared" si="7"/>
        <v>4.1580000000000004</v>
      </c>
      <c r="E44" s="182"/>
      <c r="F44" s="182">
        <f t="shared" si="8"/>
        <v>17.28</v>
      </c>
      <c r="G44" s="182"/>
      <c r="J44" s="142">
        <f t="shared" si="6"/>
        <v>13.122</v>
      </c>
      <c r="K44" s="172"/>
    </row>
    <row r="45" spans="2:20" s="108" customFormat="1" ht="9" hidden="1" customHeight="1">
      <c r="B45" s="178" t="s">
        <v>98</v>
      </c>
      <c r="C45" s="177"/>
      <c r="D45" s="182">
        <f>$D$11*D31*(1-$D$12)*31/1000</f>
        <v>2.9016000000000002</v>
      </c>
      <c r="E45" s="182"/>
      <c r="F45" s="182">
        <f>$D$8*31/1000</f>
        <v>17.856000000000002</v>
      </c>
      <c r="G45" s="182"/>
      <c r="J45" s="142">
        <f t="shared" si="6"/>
        <v>14.954400000000001</v>
      </c>
      <c r="K45" s="172"/>
    </row>
    <row r="46" spans="2:20" s="108" customFormat="1" ht="15" hidden="1" customHeight="1">
      <c r="B46" s="179" t="s">
        <v>100</v>
      </c>
      <c r="C46" s="180"/>
      <c r="D46" s="262">
        <f>SUM(D34:E45)</f>
        <v>191.17619999999999</v>
      </c>
      <c r="E46" s="263"/>
      <c r="F46" s="262">
        <f>SUM(F34:G45)</f>
        <v>210.23999999999998</v>
      </c>
      <c r="G46" s="263"/>
      <c r="H46" s="107"/>
      <c r="I46" s="144" t="s">
        <v>184</v>
      </c>
      <c r="J46" s="145">
        <f>MAX(J34:J45)</f>
        <v>14.954400000000001</v>
      </c>
      <c r="K46" s="145">
        <f>INDEX(M20:M32,MATCH(J46,M20:M32,1)+1)</f>
        <v>25.2</v>
      </c>
      <c r="L46" s="107">
        <f>VLOOKUP(J46,M20:M31,1,1)</f>
        <v>0</v>
      </c>
    </row>
    <row r="47" spans="2:20" s="108" customFormat="1" ht="15" hidden="1" customHeight="1">
      <c r="B47" s="181" t="s">
        <v>101</v>
      </c>
      <c r="C47" s="180"/>
      <c r="D47" s="244">
        <f>F46-D46</f>
        <v>19.063799999999986</v>
      </c>
      <c r="E47" s="245"/>
      <c r="F47" s="180"/>
      <c r="G47" s="180"/>
      <c r="H47" s="107"/>
      <c r="I47" s="134" t="s">
        <v>185</v>
      </c>
      <c r="J47" s="145">
        <f>MIN(J34:J45)</f>
        <v>0</v>
      </c>
      <c r="K47" s="107"/>
    </row>
    <row r="48" spans="2:20" s="108" customFormat="1" ht="15" hidden="1" customHeight="1">
      <c r="B48" s="141"/>
      <c r="C48" s="141"/>
      <c r="D48" s="141"/>
      <c r="E48" s="141"/>
      <c r="F48" s="141"/>
      <c r="G48" s="141"/>
      <c r="H48" s="107"/>
      <c r="I48" s="107"/>
      <c r="J48" s="107"/>
      <c r="K48" s="107"/>
    </row>
    <row r="49" spans="2:24" s="108" customFormat="1" ht="15" hidden="1" customHeight="1">
      <c r="B49" s="141"/>
      <c r="C49" s="141"/>
      <c r="D49" s="141"/>
      <c r="E49" s="141"/>
      <c r="F49" s="141"/>
      <c r="G49" s="141"/>
      <c r="H49" s="107"/>
      <c r="I49" s="107"/>
      <c r="J49" s="107"/>
      <c r="K49" s="107"/>
    </row>
    <row r="50" spans="2:24" s="108" customFormat="1" ht="15" hidden="1" customHeight="1">
      <c r="B50" s="141"/>
      <c r="C50" s="141"/>
      <c r="D50" s="141"/>
      <c r="E50" s="141"/>
      <c r="F50" s="141"/>
      <c r="G50" s="141"/>
      <c r="H50" s="107"/>
      <c r="I50" s="107"/>
      <c r="J50" s="107"/>
      <c r="K50" s="107"/>
    </row>
    <row r="51" spans="2:24" s="108" customFormat="1" ht="15" hidden="1" customHeight="1">
      <c r="B51" s="141"/>
      <c r="C51" s="141"/>
      <c r="D51" s="141"/>
      <c r="E51" s="141"/>
      <c r="F51" s="141"/>
      <c r="G51" s="141"/>
      <c r="H51" s="107"/>
      <c r="I51" s="107"/>
      <c r="J51" s="107"/>
      <c r="K51" s="107"/>
    </row>
    <row r="52" spans="2:24" s="108" customFormat="1" ht="9.75" customHeight="1">
      <c r="B52" s="141"/>
      <c r="C52" s="141"/>
      <c r="D52" s="141"/>
      <c r="E52" s="141"/>
      <c r="F52" s="141"/>
      <c r="G52" s="141"/>
      <c r="H52" s="107"/>
      <c r="I52" s="107"/>
      <c r="J52" s="107"/>
      <c r="K52" s="107"/>
    </row>
    <row r="53" spans="2:24" s="108" customFormat="1" ht="15" customHeight="1">
      <c r="B53" s="233" t="s">
        <v>551</v>
      </c>
      <c r="C53" s="234"/>
      <c r="D53" s="234"/>
      <c r="E53" s="234"/>
      <c r="F53" s="234"/>
      <c r="G53" s="235"/>
      <c r="H53" s="107"/>
      <c r="I53" s="107"/>
      <c r="J53" s="107"/>
      <c r="K53" s="107"/>
    </row>
    <row r="54" spans="2:24" s="108" customFormat="1">
      <c r="B54" s="247" t="s">
        <v>87</v>
      </c>
      <c r="C54" s="248"/>
      <c r="D54" s="250">
        <f>D8-D14</f>
        <v>479.28</v>
      </c>
      <c r="E54" s="251"/>
      <c r="F54" s="251"/>
      <c r="G54" s="252"/>
      <c r="H54" s="146" t="str">
        <f>IF(D54&lt;0,"The energy yield of solar panel is sufficient for year-round power supply","")</f>
        <v/>
      </c>
      <c r="I54" s="107"/>
      <c r="J54" s="147">
        <f>VLOOKUP(K54,L20:R32,6,TRUE)</f>
        <v>1</v>
      </c>
      <c r="K54" s="137">
        <f>IF(D54&gt;0,INDEX(L20:L32,MATCH(D54,L20:L32,1)+1),N20)</f>
        <v>840</v>
      </c>
      <c r="L54" s="107"/>
    </row>
    <row r="55" spans="2:24" s="108" customFormat="1">
      <c r="B55" s="148" t="s">
        <v>88</v>
      </c>
      <c r="C55" s="149"/>
      <c r="D55" s="198">
        <f>SUM(J34:J45)</f>
        <v>66.164400000000015</v>
      </c>
      <c r="E55" s="199"/>
      <c r="F55" s="199"/>
      <c r="G55" s="200"/>
      <c r="H55" s="119"/>
      <c r="I55" s="107"/>
      <c r="J55" s="137" t="str">
        <f>VLOOKUP(K54,L20:R32,4,TRUE)</f>
        <v>EFOY Pro 800 (Duo)</v>
      </c>
      <c r="K55" s="137">
        <f>IF(D55&gt;0,INDEX(N20:N32,MATCH(D55,N20:N32,1)+1),"0")</f>
        <v>302.39999999999998</v>
      </c>
      <c r="L55" s="107"/>
    </row>
    <row r="56" spans="2:24" s="108" customFormat="1">
      <c r="B56" s="148" t="str">
        <f>"Recommended EFOY Pro fuel cell" &amp; IF(D56&gt;1,"s","")</f>
        <v>Recommended EFOY Pro fuel cell</v>
      </c>
      <c r="C56" s="150"/>
      <c r="D56" s="151">
        <f>IF(J54&gt;0,J54,"0")</f>
        <v>1</v>
      </c>
      <c r="E56" s="204" t="str">
        <f>IF(J55="","0",J55)</f>
        <v>EFOY Pro 800 (Duo)</v>
      </c>
      <c r="F56" s="204"/>
      <c r="G56" s="205"/>
      <c r="H56" s="107"/>
      <c r="I56" s="107"/>
      <c r="J56" s="107"/>
      <c r="K56" s="107"/>
    </row>
    <row r="57" spans="2:24" s="108" customFormat="1">
      <c r="B57" s="113" t="str">
        <f>"Battery capacity for "&amp;D56 &amp;" "&amp;E56 &amp;" at "&amp;D5 &amp;" V"</f>
        <v>Battery capacity for 1 EFOY Pro 800 (Duo) at 24 V</v>
      </c>
      <c r="C57" s="150"/>
      <c r="D57" s="152">
        <f>VLOOKUP(J55,L37:T41,8,FALSE)</f>
        <v>30</v>
      </c>
      <c r="E57" s="215" t="s">
        <v>89</v>
      </c>
      <c r="F57" s="215"/>
      <c r="G57" s="153">
        <f>VLOOKUP(J55,L37:T41,9,FALSE)</f>
        <v>100</v>
      </c>
      <c r="H57" s="107"/>
      <c r="I57" s="107"/>
      <c r="J57" s="107"/>
      <c r="K57" s="107"/>
    </row>
    <row r="58" spans="2:24" s="108" customFormat="1" ht="6.75" customHeight="1">
      <c r="B58" s="201"/>
      <c r="C58" s="201"/>
      <c r="D58" s="201"/>
      <c r="E58" s="201"/>
      <c r="F58" s="201"/>
      <c r="G58" s="201"/>
      <c r="H58" s="107"/>
      <c r="I58" s="107"/>
      <c r="J58" s="107"/>
      <c r="K58" s="107"/>
      <c r="X58" s="154"/>
    </row>
    <row r="59" spans="2:24" s="108" customFormat="1" ht="36.75" customHeight="1">
      <c r="B59" s="155" t="str">
        <f>"Autonomy with " &amp; D56 &amp;" "&amp;E56</f>
        <v>Autonomy with 1 EFOY Pro 800 (Duo)</v>
      </c>
      <c r="C59" s="156"/>
      <c r="D59" s="213" t="s">
        <v>202</v>
      </c>
      <c r="E59" s="214"/>
      <c r="F59" s="213" t="s">
        <v>155</v>
      </c>
      <c r="G59" s="214"/>
      <c r="H59" s="107"/>
      <c r="I59" s="107"/>
      <c r="J59" s="107"/>
      <c r="K59" s="107"/>
    </row>
    <row r="60" spans="2:24" s="108" customFormat="1">
      <c r="B60" s="135" t="s">
        <v>90</v>
      </c>
      <c r="C60" s="157">
        <f>ROUND(5*1000/0.9,-2)</f>
        <v>5600</v>
      </c>
      <c r="D60" s="202">
        <f>IF(D55=0,"n/a",(IF(D56="not","not possible",2*C60*D56/(D55/360*1000))))</f>
        <v>60.939115294629723</v>
      </c>
      <c r="E60" s="203"/>
      <c r="F60" s="202">
        <f>IF(D55=0,"n/a",(IF(D56="not","not possible",4*C60*D56/(D55/360*1000))))</f>
        <v>121.87823058925945</v>
      </c>
      <c r="G60" s="203"/>
      <c r="H60" s="158"/>
      <c r="I60" s="107"/>
      <c r="J60" s="107"/>
      <c r="K60" s="107"/>
    </row>
    <row r="61" spans="2:24" s="108" customFormat="1">
      <c r="B61" s="135" t="s">
        <v>91</v>
      </c>
      <c r="C61" s="157">
        <f>ROUND(10*1000/0.9,-2)</f>
        <v>11100</v>
      </c>
      <c r="D61" s="202">
        <f>IF(D55=0,"n/a",(IF(D56="not","not possible",2*C61*D56/(D55/360*1000))))</f>
        <v>120.79003210185535</v>
      </c>
      <c r="E61" s="203"/>
      <c r="F61" s="202">
        <f>IF(D55=0,"n/a",(IF(D56="not","not possible",4*C61*D56/(D55/360*1000))))</f>
        <v>241.58006420371069</v>
      </c>
      <c r="G61" s="203"/>
      <c r="H61" s="107"/>
      <c r="I61" s="107"/>
      <c r="J61" s="107"/>
      <c r="K61" s="107"/>
    </row>
    <row r="62" spans="2:24" s="108" customFormat="1">
      <c r="B62" s="148" t="s">
        <v>92</v>
      </c>
      <c r="C62" s="157">
        <f>ROUND(28*1000/0.9,-2)</f>
        <v>31100</v>
      </c>
      <c r="D62" s="202">
        <f>IF(D55=0,"n/a",(IF(D56="not","not possible",2*C62*D56/(D55/360*1000))))</f>
        <v>338.4297295826758</v>
      </c>
      <c r="E62" s="203"/>
      <c r="F62" s="202">
        <f>IF(D55=0,"n/a",(IF(D56="not","not possible",4*C62*D56/(D55/360*1000))))</f>
        <v>676.85945916535161</v>
      </c>
      <c r="G62" s="203"/>
      <c r="H62" s="158"/>
      <c r="I62" s="107"/>
      <c r="J62" s="107"/>
      <c r="K62" s="107"/>
      <c r="O62" s="159"/>
    </row>
    <row r="63" spans="2:24" s="108" customFormat="1">
      <c r="B63" s="135" t="s">
        <v>548</v>
      </c>
      <c r="C63" s="157">
        <v>66000</v>
      </c>
      <c r="D63" s="202">
        <f>IF(D55=0,"n/a",(IF(D56="not","not possible",2*C63*D56/(D55/360*1000))))</f>
        <v>718.2110016867075</v>
      </c>
      <c r="E63" s="203"/>
      <c r="F63" s="202">
        <f>IF(D55=0,"n/a",(IF(D56="not","not possible",4*C63*D56/(D55/360*1000))))</f>
        <v>1436.422003373415</v>
      </c>
      <c r="G63" s="203"/>
      <c r="H63" s="158"/>
      <c r="I63" s="107"/>
      <c r="J63" s="107"/>
      <c r="K63" s="107"/>
      <c r="O63" s="159"/>
    </row>
    <row r="64" spans="2:24" s="108" customFormat="1" ht="34.5" customHeight="1">
      <c r="B64" s="249" t="s">
        <v>126</v>
      </c>
      <c r="C64" s="249"/>
      <c r="D64" s="249"/>
      <c r="E64" s="249"/>
      <c r="F64" s="249"/>
      <c r="G64" s="249"/>
      <c r="H64" s="107"/>
      <c r="I64" s="107"/>
      <c r="J64" s="107"/>
      <c r="K64" s="107"/>
    </row>
    <row r="65" spans="1:251" s="108" customFormat="1" ht="16.5" customHeight="1">
      <c r="B65" s="246" t="s">
        <v>156</v>
      </c>
      <c r="C65" s="246"/>
      <c r="D65" s="246"/>
      <c r="E65" s="246"/>
      <c r="F65" s="246"/>
      <c r="G65" s="246"/>
      <c r="H65" s="107"/>
      <c r="I65" s="107"/>
    </row>
    <row r="66" spans="1:251" s="108" customFormat="1" ht="9.75" hidden="1" customHeight="1">
      <c r="B66" s="236"/>
      <c r="C66" s="236"/>
      <c r="D66" s="236"/>
      <c r="E66" s="236"/>
      <c r="F66" s="236"/>
      <c r="G66" s="236"/>
      <c r="H66" s="107"/>
      <c r="I66" s="107"/>
    </row>
    <row r="67" spans="1:251" s="108" customFormat="1">
      <c r="B67" s="160" t="s">
        <v>157</v>
      </c>
      <c r="C67" s="161"/>
      <c r="D67" s="261" t="s">
        <v>197</v>
      </c>
      <c r="E67" s="261"/>
      <c r="F67" s="261" t="s">
        <v>198</v>
      </c>
      <c r="G67" s="261"/>
      <c r="J67" s="134"/>
      <c r="K67" s="134" t="s">
        <v>180</v>
      </c>
      <c r="L67" s="134"/>
      <c r="M67" s="134"/>
      <c r="N67" s="134" t="s">
        <v>200</v>
      </c>
      <c r="O67" s="134" t="s">
        <v>199</v>
      </c>
      <c r="P67" s="134"/>
      <c r="Q67" s="134" t="s">
        <v>201</v>
      </c>
      <c r="R67" s="162"/>
      <c r="S67" s="162"/>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c r="EO67" s="187"/>
      <c r="EP67" s="187"/>
      <c r="EQ67" s="187"/>
      <c r="ER67" s="187"/>
      <c r="ES67" s="187"/>
      <c r="ET67" s="187"/>
      <c r="EU67" s="187"/>
      <c r="EV67" s="187"/>
      <c r="EW67" s="187"/>
      <c r="EX67" s="187"/>
      <c r="EY67" s="187"/>
      <c r="EZ67" s="187"/>
      <c r="FA67" s="187"/>
      <c r="FB67" s="187"/>
      <c r="FC67" s="187"/>
      <c r="FD67" s="187"/>
      <c r="FE67" s="187"/>
      <c r="FF67" s="187"/>
      <c r="FG67" s="187"/>
      <c r="FH67" s="187"/>
      <c r="FI67" s="187"/>
      <c r="FJ67" s="187"/>
      <c r="FK67" s="187"/>
      <c r="FL67" s="187"/>
      <c r="FM67" s="187"/>
      <c r="FN67" s="187"/>
      <c r="FO67" s="187"/>
      <c r="FP67" s="187"/>
      <c r="FQ67" s="187"/>
      <c r="FR67" s="187"/>
      <c r="FS67" s="187"/>
      <c r="FT67" s="187"/>
      <c r="FU67" s="187"/>
      <c r="FV67" s="187"/>
      <c r="FW67" s="187"/>
      <c r="FX67" s="187"/>
      <c r="FY67" s="187"/>
      <c r="FZ67" s="187"/>
      <c r="GA67" s="187"/>
      <c r="GB67" s="187"/>
      <c r="GC67" s="187"/>
      <c r="GD67" s="187"/>
      <c r="GE67" s="187"/>
      <c r="GF67" s="187"/>
      <c r="GG67" s="187"/>
      <c r="GH67" s="187"/>
      <c r="GI67" s="187"/>
      <c r="GJ67" s="187"/>
      <c r="GK67" s="187"/>
      <c r="GL67" s="187"/>
      <c r="GM67" s="187"/>
      <c r="GN67" s="187"/>
      <c r="GO67" s="187"/>
      <c r="GP67" s="187"/>
      <c r="GQ67" s="187"/>
      <c r="GR67" s="187"/>
      <c r="GS67" s="187"/>
      <c r="GT67" s="187"/>
      <c r="GU67" s="187"/>
      <c r="GV67" s="187"/>
      <c r="GW67" s="187"/>
      <c r="GX67" s="187"/>
      <c r="GY67" s="187"/>
      <c r="GZ67" s="187"/>
      <c r="HA67" s="187"/>
      <c r="HB67" s="187"/>
      <c r="HC67" s="187"/>
      <c r="HD67" s="187"/>
      <c r="HE67" s="187"/>
      <c r="HF67" s="187"/>
      <c r="HG67" s="187"/>
      <c r="HH67" s="187"/>
      <c r="HI67" s="187"/>
      <c r="HJ67" s="187"/>
      <c r="HK67" s="187"/>
      <c r="HL67" s="187"/>
      <c r="HM67" s="187"/>
      <c r="HN67" s="187"/>
      <c r="HO67" s="187"/>
      <c r="HP67" s="187"/>
      <c r="HQ67" s="187"/>
      <c r="HR67" s="187"/>
      <c r="HS67" s="187"/>
      <c r="HT67" s="187"/>
      <c r="HU67" s="187"/>
      <c r="HV67" s="187"/>
      <c r="HW67" s="187"/>
      <c r="HX67" s="187"/>
      <c r="HY67" s="187"/>
      <c r="HZ67" s="187"/>
      <c r="IA67" s="187"/>
      <c r="IB67" s="187"/>
      <c r="IC67" s="187"/>
      <c r="ID67" s="187"/>
      <c r="IE67" s="187"/>
      <c r="IF67" s="187"/>
      <c r="IG67" s="187"/>
      <c r="IH67" s="187"/>
      <c r="II67" s="187"/>
      <c r="IJ67" s="187"/>
      <c r="IK67" s="187"/>
      <c r="IL67" s="187"/>
      <c r="IM67" s="187"/>
      <c r="IN67" s="187"/>
      <c r="IO67" s="187"/>
      <c r="IP67" s="187"/>
      <c r="IQ67" s="187"/>
    </row>
    <row r="68" spans="1:251" s="108" customFormat="1">
      <c r="B68" s="163" t="s">
        <v>178</v>
      </c>
      <c r="C68" s="164"/>
      <c r="D68" s="260">
        <f>IF(P68=0,"n/a",P68)</f>
        <v>1</v>
      </c>
      <c r="E68" s="260"/>
      <c r="F68" s="258">
        <f>IF(P68="n/a","n/a",IF(P68=0,"n/a",Q68))</f>
        <v>1890.4114285714288</v>
      </c>
      <c r="G68" s="259"/>
      <c r="I68" s="165"/>
      <c r="J68" s="138" t="s">
        <v>178</v>
      </c>
      <c r="K68" s="138">
        <f>VLOOKUP(J68,O20:R32,4,FALSE)</f>
        <v>35</v>
      </c>
      <c r="L68" s="139">
        <f>IF(K68=1,"n/a",VLOOKUP(J68,O20:R32,3,FALSE))</f>
        <v>1</v>
      </c>
      <c r="M68" s="139">
        <f>$D$55*1000/K68</f>
        <v>1890.4114285714288</v>
      </c>
      <c r="N68" s="139">
        <v>8000</v>
      </c>
      <c r="O68" s="139">
        <f>ROUNDUP(M68/N68,0)</f>
        <v>1</v>
      </c>
      <c r="P68" s="139">
        <f>IF(O68&gt;1,"n/a",O68)</f>
        <v>1</v>
      </c>
      <c r="Q68" s="139">
        <f>IF(O68=0,"0",$D$55*1000/(O68*K68))</f>
        <v>1890.4114285714288</v>
      </c>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2"/>
      <c r="CJ68" s="162"/>
      <c r="CK68" s="162"/>
      <c r="CL68" s="162"/>
      <c r="CM68" s="162"/>
      <c r="CN68" s="162"/>
      <c r="CO68" s="162"/>
      <c r="CP68" s="162"/>
      <c r="CQ68" s="162"/>
      <c r="CR68" s="162"/>
      <c r="CS68" s="162"/>
      <c r="CT68" s="162"/>
      <c r="CU68" s="162"/>
      <c r="CV68" s="162"/>
      <c r="CW68" s="162"/>
      <c r="CX68" s="162"/>
      <c r="CY68" s="162"/>
      <c r="CZ68" s="162"/>
      <c r="DA68" s="162"/>
      <c r="DB68" s="162"/>
      <c r="DC68" s="162"/>
      <c r="DD68" s="162"/>
      <c r="DE68" s="162"/>
      <c r="DF68" s="162"/>
      <c r="DG68" s="162"/>
      <c r="DH68" s="162"/>
      <c r="DI68" s="162"/>
      <c r="DJ68" s="162"/>
      <c r="DK68" s="162"/>
      <c r="DL68" s="162"/>
      <c r="DM68" s="162"/>
      <c r="DN68" s="162"/>
      <c r="DO68" s="162"/>
      <c r="DP68" s="162"/>
      <c r="DQ68" s="162"/>
      <c r="DR68" s="162"/>
      <c r="DS68" s="162"/>
      <c r="DT68" s="162"/>
      <c r="DU68" s="162"/>
      <c r="DV68" s="162"/>
      <c r="DW68" s="162"/>
      <c r="DX68" s="162"/>
      <c r="DY68" s="162"/>
      <c r="DZ68" s="162"/>
      <c r="EA68" s="162"/>
      <c r="EB68" s="162"/>
      <c r="EC68" s="162"/>
      <c r="ED68" s="162"/>
      <c r="EE68" s="162"/>
      <c r="EF68" s="162"/>
      <c r="EG68" s="162"/>
      <c r="EH68" s="162"/>
      <c r="EI68" s="162"/>
      <c r="EJ68" s="162"/>
      <c r="EK68" s="162"/>
      <c r="EL68" s="162"/>
      <c r="EM68" s="162"/>
      <c r="EN68" s="162"/>
      <c r="EO68" s="162"/>
      <c r="EP68" s="162"/>
      <c r="EQ68" s="162"/>
      <c r="ER68" s="162"/>
      <c r="ES68" s="162"/>
      <c r="ET68" s="162"/>
      <c r="EU68" s="162"/>
      <c r="EV68" s="162"/>
      <c r="EW68" s="162"/>
      <c r="EX68" s="162"/>
      <c r="EY68" s="162"/>
      <c r="EZ68" s="162"/>
      <c r="FA68" s="162"/>
      <c r="FB68" s="162"/>
      <c r="FC68" s="162"/>
      <c r="FD68" s="162"/>
      <c r="FE68" s="162"/>
      <c r="FF68" s="162"/>
      <c r="FG68" s="162"/>
      <c r="FH68" s="162"/>
      <c r="FI68" s="162"/>
      <c r="FJ68" s="162"/>
      <c r="FK68" s="162"/>
      <c r="FL68" s="162"/>
      <c r="FM68" s="162"/>
      <c r="FN68" s="162"/>
      <c r="FO68" s="162"/>
      <c r="FP68" s="162"/>
      <c r="FQ68" s="162"/>
      <c r="FR68" s="162"/>
      <c r="FS68" s="162"/>
      <c r="FT68" s="162"/>
      <c r="FU68" s="162"/>
      <c r="FV68" s="162"/>
      <c r="FW68" s="162"/>
      <c r="FX68" s="162"/>
      <c r="FY68" s="162"/>
      <c r="FZ68" s="162"/>
      <c r="GA68" s="162"/>
      <c r="GB68" s="162"/>
      <c r="GC68" s="162"/>
      <c r="GD68" s="162"/>
      <c r="GE68" s="162"/>
      <c r="GF68" s="162"/>
      <c r="GG68" s="162"/>
      <c r="GH68" s="162"/>
      <c r="GI68" s="162"/>
      <c r="GJ68" s="162"/>
      <c r="GK68" s="162"/>
      <c r="GL68" s="162"/>
      <c r="GM68" s="162"/>
      <c r="GN68" s="162"/>
      <c r="GO68" s="162"/>
      <c r="GP68" s="162"/>
      <c r="GQ68" s="162"/>
      <c r="GR68" s="162"/>
      <c r="GS68" s="162"/>
      <c r="GT68" s="162"/>
      <c r="GU68" s="162"/>
      <c r="GV68" s="162"/>
      <c r="GW68" s="162"/>
      <c r="GX68" s="162"/>
      <c r="GY68" s="162"/>
      <c r="GZ68" s="162"/>
      <c r="HA68" s="162"/>
      <c r="HB68" s="162"/>
      <c r="HC68" s="162"/>
      <c r="HD68" s="162"/>
      <c r="HE68" s="162"/>
      <c r="HF68" s="162"/>
      <c r="HG68" s="162"/>
      <c r="HH68" s="162"/>
      <c r="HI68" s="162"/>
      <c r="HJ68" s="162"/>
      <c r="HK68" s="162"/>
      <c r="HL68" s="162"/>
      <c r="HM68" s="162"/>
      <c r="HN68" s="162"/>
      <c r="HO68" s="162"/>
      <c r="HP68" s="162"/>
      <c r="HQ68" s="162"/>
      <c r="HR68" s="162"/>
      <c r="HS68" s="162"/>
      <c r="HT68" s="162"/>
      <c r="HU68" s="162"/>
      <c r="HV68" s="162"/>
      <c r="HW68" s="162"/>
      <c r="HX68" s="162"/>
      <c r="HY68" s="162"/>
      <c r="HZ68" s="162"/>
      <c r="IA68" s="162"/>
      <c r="IB68" s="162"/>
      <c r="IC68" s="162"/>
      <c r="ID68" s="162"/>
      <c r="IE68" s="162"/>
      <c r="IF68" s="162"/>
      <c r="IG68" s="162"/>
      <c r="IH68" s="162"/>
      <c r="II68" s="162"/>
      <c r="IJ68" s="162"/>
      <c r="IK68" s="162"/>
      <c r="IL68" s="162"/>
      <c r="IM68" s="162"/>
      <c r="IN68" s="162"/>
      <c r="IO68" s="162"/>
      <c r="IP68" s="162"/>
      <c r="IQ68" s="162"/>
    </row>
    <row r="69" spans="1:251" s="108" customFormat="1">
      <c r="B69" s="163" t="s">
        <v>181</v>
      </c>
      <c r="C69" s="164"/>
      <c r="D69" s="260">
        <f t="shared" ref="D69:D70" si="10">IF(P69=0,"n/a",P69)</f>
        <v>1</v>
      </c>
      <c r="E69" s="260"/>
      <c r="F69" s="258">
        <f>IF(P69="n/a","n/a",IF(P69=0,"n/a",Q69))</f>
        <v>696.4673684210527</v>
      </c>
      <c r="G69" s="259"/>
      <c r="H69" s="166"/>
      <c r="I69" s="166"/>
      <c r="J69" s="138" t="s">
        <v>181</v>
      </c>
      <c r="K69" s="138">
        <f>VLOOKUP(J69,O20:R32,4,FALSE)</f>
        <v>95</v>
      </c>
      <c r="L69" s="139">
        <f>IF(K69=1,"n/a",VLOOKUP(J69,O21:R33,3,FALSE))</f>
        <v>1</v>
      </c>
      <c r="M69" s="139">
        <f>$D$55*1000/K69</f>
        <v>696.4673684210527</v>
      </c>
      <c r="N69" s="139">
        <v>8000</v>
      </c>
      <c r="O69" s="139">
        <f t="shared" ref="O69" si="11">ROUNDUP(M69/N69,0)</f>
        <v>1</v>
      </c>
      <c r="P69" s="139">
        <f>IF(O69&gt;5,"n/a",O69)</f>
        <v>1</v>
      </c>
      <c r="Q69" s="139">
        <f>IF(O69=0,"0",$D$55*1000/(O69*K69))</f>
        <v>696.4673684210527</v>
      </c>
    </row>
    <row r="70" spans="1:251" s="108" customFormat="1">
      <c r="B70" s="163" t="s">
        <v>182</v>
      </c>
      <c r="C70" s="164"/>
      <c r="D70" s="260">
        <f t="shared" si="10"/>
        <v>1</v>
      </c>
      <c r="E70" s="260"/>
      <c r="F70" s="258">
        <f t="shared" ref="F70" si="12">IF(P70="n/a","n/a",IF(P70=0,"n/a",Q70))</f>
        <v>141.98369098712448</v>
      </c>
      <c r="G70" s="259"/>
      <c r="H70" s="166"/>
      <c r="I70" s="166"/>
      <c r="J70" s="138" t="s">
        <v>182</v>
      </c>
      <c r="K70" s="138">
        <f>VLOOKUP(J70,O20:R32,4,FALSE)</f>
        <v>466</v>
      </c>
      <c r="L70" s="139">
        <f>IF(K70=1,"n/a",VLOOKUP(J70,O22:R34,3,FALSE))</f>
        <v>1</v>
      </c>
      <c r="M70" s="139">
        <f>IF(K70=0,"0",$D$55*1000*(1/K70))</f>
        <v>141.98369098712448</v>
      </c>
      <c r="N70" s="139">
        <v>8000</v>
      </c>
      <c r="O70" s="139">
        <f>ROUNDUP(M70/N70,0)</f>
        <v>1</v>
      </c>
      <c r="P70" s="139">
        <f>IF(O70&gt;5,"n/a",O70)</f>
        <v>1</v>
      </c>
      <c r="Q70" s="139">
        <f t="shared" ref="Q70" si="13">IF(O70=0,"0",$D$55*1000/(O70*K70))</f>
        <v>141.98369098712448</v>
      </c>
    </row>
    <row r="71" spans="1:251" s="108" customFormat="1">
      <c r="B71" s="243" t="s">
        <v>158</v>
      </c>
      <c r="C71" s="243"/>
      <c r="D71" s="243"/>
      <c r="E71" s="243"/>
      <c r="F71" s="243"/>
      <c r="G71" s="243"/>
      <c r="H71" s="107"/>
      <c r="I71" s="107"/>
    </row>
    <row r="72" spans="1:251" s="108" customFormat="1" ht="9.75" customHeight="1">
      <c r="C72" s="166"/>
      <c r="D72" s="166"/>
      <c r="E72" s="166"/>
      <c r="F72" s="166"/>
      <c r="G72" s="166"/>
      <c r="H72" s="167"/>
      <c r="I72" s="166"/>
      <c r="J72" s="166"/>
      <c r="K72" s="166"/>
    </row>
    <row r="73" spans="1:251" s="108" customFormat="1" ht="61.5" customHeight="1">
      <c r="B73" s="241" t="s">
        <v>554</v>
      </c>
      <c r="C73" s="242"/>
      <c r="D73" s="242"/>
      <c r="E73" s="242"/>
      <c r="F73" s="242"/>
      <c r="G73" s="242"/>
      <c r="H73" s="168"/>
      <c r="K73" s="166"/>
    </row>
    <row r="74" spans="1:251" s="108" customFormat="1" ht="54" hidden="1">
      <c r="B74" s="43" t="s">
        <v>12</v>
      </c>
      <c r="C74" s="38" t="s">
        <v>0</v>
      </c>
      <c r="D74" s="38" t="s">
        <v>1</v>
      </c>
      <c r="E74" s="38" t="s">
        <v>2</v>
      </c>
      <c r="F74" s="38" t="s">
        <v>3</v>
      </c>
      <c r="G74" s="38" t="s">
        <v>4</v>
      </c>
      <c r="H74" s="38" t="s">
        <v>5</v>
      </c>
      <c r="I74" s="38" t="s">
        <v>6</v>
      </c>
      <c r="J74" s="38" t="s">
        <v>7</v>
      </c>
      <c r="K74" s="38" t="s">
        <v>8</v>
      </c>
      <c r="L74" s="38" t="s">
        <v>9</v>
      </c>
      <c r="M74" s="38" t="s">
        <v>10</v>
      </c>
      <c r="N74" s="38" t="s">
        <v>11</v>
      </c>
    </row>
    <row r="75" spans="1:251" s="108" customFormat="1" hidden="1">
      <c r="B75" s="46" t="s">
        <v>148</v>
      </c>
      <c r="C75" s="51">
        <v>6.66</v>
      </c>
      <c r="D75" s="51">
        <v>5.99</v>
      </c>
      <c r="E75" s="51">
        <v>5.0599999999999996</v>
      </c>
      <c r="F75" s="51">
        <v>3.83</v>
      </c>
      <c r="G75" s="51">
        <v>2.92</v>
      </c>
      <c r="H75" s="51">
        <v>2.41</v>
      </c>
      <c r="I75" s="51">
        <v>2.7</v>
      </c>
      <c r="J75" s="51">
        <v>3.39</v>
      </c>
      <c r="K75" s="51">
        <v>4.42</v>
      </c>
      <c r="L75" s="51">
        <v>5.26</v>
      </c>
      <c r="M75" s="51">
        <v>6.22</v>
      </c>
      <c r="N75" s="51">
        <v>6.77</v>
      </c>
    </row>
    <row r="76" spans="1:251" s="169" customFormat="1" hidden="1">
      <c r="A76" s="108"/>
      <c r="B76" s="46" t="s">
        <v>30</v>
      </c>
      <c r="C76" s="51">
        <v>6.64</v>
      </c>
      <c r="D76" s="51">
        <v>5.81</v>
      </c>
      <c r="E76" s="51">
        <v>5.3</v>
      </c>
      <c r="F76" s="51">
        <v>4.26</v>
      </c>
      <c r="G76" s="51">
        <v>3.52</v>
      </c>
      <c r="H76" s="51">
        <v>3.31</v>
      </c>
      <c r="I76" s="51">
        <v>3.58</v>
      </c>
      <c r="J76" s="51">
        <v>4.4400000000000004</v>
      </c>
      <c r="K76" s="51">
        <v>5.57</v>
      </c>
      <c r="L76" s="51">
        <v>6.04</v>
      </c>
      <c r="M76" s="51">
        <v>6.57</v>
      </c>
      <c r="N76" s="51">
        <v>6.8</v>
      </c>
    </row>
    <row r="77" spans="1:251" s="169" customFormat="1" hidden="1">
      <c r="A77" s="108"/>
      <c r="B77" s="46" t="s">
        <v>152</v>
      </c>
      <c r="C77" s="51">
        <v>5.84</v>
      </c>
      <c r="D77" s="51">
        <v>5.21</v>
      </c>
      <c r="E77" s="51">
        <v>3.99</v>
      </c>
      <c r="F77" s="51">
        <v>2.7</v>
      </c>
      <c r="G77" s="51">
        <v>1.81</v>
      </c>
      <c r="H77" s="51">
        <v>1.46</v>
      </c>
      <c r="I77" s="51">
        <v>1.63</v>
      </c>
      <c r="J77" s="51">
        <v>2.38</v>
      </c>
      <c r="K77" s="51">
        <v>3.43</v>
      </c>
      <c r="L77" s="51">
        <v>4.6399999999999997</v>
      </c>
      <c r="M77" s="51">
        <v>5.56</v>
      </c>
      <c r="N77" s="51">
        <v>5.98</v>
      </c>
    </row>
    <row r="78" spans="1:251" s="169" customFormat="1" hidden="1">
      <c r="A78" s="108"/>
      <c r="B78" s="46" t="s">
        <v>153</v>
      </c>
      <c r="C78" s="51">
        <v>7.13</v>
      </c>
      <c r="D78" s="51">
        <v>6.53</v>
      </c>
      <c r="E78" s="51">
        <v>5.32</v>
      </c>
      <c r="F78" s="51">
        <v>3.8</v>
      </c>
      <c r="G78" s="51">
        <v>2.61</v>
      </c>
      <c r="H78" s="51">
        <v>2.0099999999999998</v>
      </c>
      <c r="I78" s="51">
        <v>2.15</v>
      </c>
      <c r="J78" s="51">
        <v>2.96</v>
      </c>
      <c r="K78" s="51">
        <v>4.09</v>
      </c>
      <c r="L78" s="51">
        <v>5.41</v>
      </c>
      <c r="M78" s="51">
        <v>6.54</v>
      </c>
      <c r="N78" s="51">
        <v>7.04</v>
      </c>
    </row>
    <row r="79" spans="1:251" s="169" customFormat="1" hidden="1">
      <c r="A79" s="108"/>
      <c r="B79" s="46" t="s">
        <v>154</v>
      </c>
      <c r="C79" s="51">
        <v>7.69</v>
      </c>
      <c r="D79" s="51">
        <v>6.84</v>
      </c>
      <c r="E79" s="51">
        <v>5.54</v>
      </c>
      <c r="F79" s="51">
        <v>4.16</v>
      </c>
      <c r="G79" s="51">
        <v>3.08</v>
      </c>
      <c r="H79" s="51">
        <v>2.63</v>
      </c>
      <c r="I79" s="51">
        <v>2.79</v>
      </c>
      <c r="J79" s="51">
        <v>3.56</v>
      </c>
      <c r="K79" s="51">
        <v>4.72</v>
      </c>
      <c r="L79" s="51">
        <v>6.17</v>
      </c>
      <c r="M79" s="51">
        <v>7.17</v>
      </c>
      <c r="N79" s="51">
        <v>7.81</v>
      </c>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0"/>
      <c r="BI79" s="170"/>
      <c r="BJ79" s="170"/>
      <c r="BK79" s="170"/>
      <c r="BL79" s="170"/>
      <c r="BM79" s="170"/>
      <c r="BN79" s="170"/>
      <c r="BO79" s="170"/>
      <c r="BP79" s="170"/>
      <c r="BQ79" s="170"/>
      <c r="BR79" s="170"/>
      <c r="BS79" s="170"/>
      <c r="BT79" s="170"/>
      <c r="BU79" s="170"/>
      <c r="BV79" s="170"/>
      <c r="BW79" s="170"/>
      <c r="BX79" s="170"/>
      <c r="BY79" s="170"/>
      <c r="BZ79" s="170"/>
      <c r="CA79" s="170"/>
      <c r="CB79" s="170"/>
      <c r="CC79" s="170"/>
      <c r="CD79" s="170"/>
      <c r="CE79" s="170"/>
      <c r="CF79" s="170"/>
      <c r="CG79" s="170"/>
      <c r="CH79" s="170"/>
      <c r="CI79" s="170"/>
      <c r="CJ79" s="170"/>
      <c r="CK79" s="170"/>
      <c r="CL79" s="170"/>
      <c r="CM79" s="170"/>
      <c r="CN79" s="170"/>
      <c r="CO79" s="170"/>
      <c r="CP79" s="170"/>
      <c r="CQ79" s="170"/>
      <c r="CR79" s="170"/>
      <c r="CS79" s="170"/>
      <c r="CT79" s="170"/>
      <c r="CU79" s="170"/>
      <c r="CV79" s="170"/>
      <c r="CW79" s="170"/>
      <c r="CX79" s="170"/>
      <c r="CY79" s="170"/>
      <c r="CZ79" s="170"/>
      <c r="DA79" s="170"/>
      <c r="DB79" s="170"/>
      <c r="DC79" s="170"/>
      <c r="DD79" s="170"/>
      <c r="DE79" s="170"/>
      <c r="DF79" s="170"/>
      <c r="DG79" s="170"/>
      <c r="DH79" s="170"/>
      <c r="DI79" s="170"/>
      <c r="DJ79" s="170"/>
      <c r="DK79" s="170"/>
      <c r="DL79" s="170"/>
      <c r="DM79" s="170"/>
      <c r="DN79" s="170"/>
      <c r="DO79" s="170"/>
      <c r="DP79" s="170"/>
      <c r="DQ79" s="170"/>
      <c r="DR79" s="170"/>
      <c r="DS79" s="170"/>
      <c r="DT79" s="170"/>
      <c r="DU79" s="170"/>
      <c r="DV79" s="170"/>
      <c r="DW79" s="170"/>
      <c r="DX79" s="170"/>
      <c r="DY79" s="170"/>
      <c r="DZ79" s="170"/>
      <c r="EA79" s="170"/>
      <c r="EB79" s="170"/>
      <c r="EC79" s="170"/>
      <c r="ED79" s="170"/>
      <c r="EE79" s="170"/>
      <c r="EF79" s="170"/>
      <c r="EG79" s="170"/>
      <c r="EH79" s="170"/>
      <c r="EI79" s="170"/>
      <c r="EJ79" s="170"/>
      <c r="EK79" s="170"/>
      <c r="EL79" s="170"/>
      <c r="EM79" s="170"/>
      <c r="EN79" s="170"/>
      <c r="EO79" s="170"/>
      <c r="EP79" s="170"/>
      <c r="EQ79" s="170"/>
      <c r="ER79" s="170"/>
      <c r="ES79" s="170"/>
      <c r="ET79" s="170"/>
      <c r="EU79" s="170"/>
      <c r="EV79" s="170"/>
      <c r="EW79" s="170"/>
      <c r="EX79" s="170"/>
      <c r="EY79" s="170"/>
      <c r="EZ79" s="170"/>
      <c r="FA79" s="170"/>
      <c r="FB79" s="170"/>
      <c r="FC79" s="170"/>
      <c r="FD79" s="170"/>
      <c r="FE79" s="170"/>
      <c r="FF79" s="170"/>
      <c r="FG79" s="170"/>
      <c r="FH79" s="170"/>
      <c r="FI79" s="170"/>
      <c r="FJ79" s="170"/>
      <c r="FK79" s="170"/>
      <c r="FL79" s="170"/>
      <c r="FM79" s="170"/>
      <c r="FN79" s="170"/>
      <c r="FO79" s="170"/>
      <c r="FP79" s="170"/>
      <c r="FQ79" s="170"/>
      <c r="FR79" s="170"/>
      <c r="FS79" s="170"/>
      <c r="FT79" s="170"/>
      <c r="FU79" s="170"/>
      <c r="FV79" s="170"/>
      <c r="FW79" s="170"/>
      <c r="FX79" s="170"/>
      <c r="FY79" s="170"/>
      <c r="FZ79" s="170"/>
      <c r="GA79" s="170"/>
      <c r="GB79" s="170"/>
      <c r="GC79" s="170"/>
      <c r="GD79" s="170"/>
      <c r="GE79" s="170"/>
      <c r="GF79" s="170"/>
      <c r="GG79" s="170"/>
      <c r="GH79" s="170"/>
      <c r="GI79" s="170"/>
      <c r="GJ79" s="170"/>
      <c r="GK79" s="170"/>
      <c r="GL79" s="170"/>
      <c r="GM79" s="170"/>
      <c r="GN79" s="170"/>
      <c r="GO79" s="170"/>
      <c r="GP79" s="170"/>
      <c r="GQ79" s="170"/>
      <c r="GR79" s="170"/>
      <c r="GS79" s="170"/>
      <c r="GT79" s="170"/>
      <c r="GU79" s="170"/>
      <c r="GV79" s="170"/>
      <c r="GW79" s="170"/>
      <c r="GX79" s="170"/>
      <c r="GY79" s="170"/>
      <c r="GZ79" s="170"/>
      <c r="HA79" s="170"/>
      <c r="HB79" s="170"/>
      <c r="HC79" s="170"/>
      <c r="HD79" s="170"/>
      <c r="HE79" s="170"/>
      <c r="HF79" s="170"/>
      <c r="HG79" s="170"/>
      <c r="HH79" s="170"/>
      <c r="HI79" s="170"/>
      <c r="HJ79" s="170"/>
      <c r="HK79" s="170"/>
      <c r="HL79" s="170"/>
      <c r="HM79" s="170"/>
      <c r="HN79" s="170"/>
      <c r="HO79" s="170"/>
      <c r="HP79" s="170"/>
      <c r="HQ79" s="170"/>
      <c r="HR79" s="170"/>
      <c r="HS79" s="170"/>
      <c r="HT79" s="170"/>
      <c r="HU79" s="170"/>
      <c r="HV79" s="170"/>
      <c r="HW79" s="170"/>
      <c r="HX79" s="170"/>
      <c r="HY79" s="170"/>
      <c r="HZ79" s="170"/>
      <c r="IA79" s="170"/>
      <c r="IB79" s="170"/>
      <c r="IC79" s="170"/>
      <c r="ID79" s="170"/>
      <c r="IE79" s="170"/>
      <c r="IF79" s="170"/>
      <c r="IG79" s="170"/>
      <c r="IH79" s="170"/>
      <c r="II79" s="170"/>
      <c r="IJ79" s="170"/>
      <c r="IK79" s="170"/>
      <c r="IL79" s="170"/>
      <c r="IM79" s="170"/>
      <c r="IN79" s="170"/>
    </row>
    <row r="80" spans="1:251" s="169" customFormat="1" hidden="1">
      <c r="A80" s="108"/>
      <c r="B80" s="46" t="s">
        <v>139</v>
      </c>
      <c r="C80" s="51">
        <v>5.94</v>
      </c>
      <c r="D80" s="51">
        <v>5.28</v>
      </c>
      <c r="E80" s="51">
        <v>4.55</v>
      </c>
      <c r="F80" s="51">
        <v>3.59</v>
      </c>
      <c r="G80" s="51">
        <v>2.79</v>
      </c>
      <c r="H80" s="51">
        <v>2.52</v>
      </c>
      <c r="I80" s="51">
        <v>2.72</v>
      </c>
      <c r="J80" s="51">
        <v>3.61</v>
      </c>
      <c r="K80" s="51">
        <v>4.6500000000000004</v>
      </c>
      <c r="L80" s="51">
        <v>5.54</v>
      </c>
      <c r="M80" s="51">
        <v>5.91</v>
      </c>
      <c r="N80" s="51">
        <v>6.28</v>
      </c>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170"/>
      <c r="CF80" s="170"/>
      <c r="CG80" s="170"/>
      <c r="CH80" s="170"/>
      <c r="CI80" s="170"/>
      <c r="CJ80" s="170"/>
      <c r="CK80" s="170"/>
      <c r="CL80" s="170"/>
      <c r="CM80" s="170"/>
      <c r="CN80" s="170"/>
      <c r="CO80" s="170"/>
      <c r="CP80" s="170"/>
      <c r="CQ80" s="170"/>
      <c r="CR80" s="170"/>
      <c r="CS80" s="170"/>
      <c r="CT80" s="170"/>
      <c r="CU80" s="170"/>
      <c r="CV80" s="170"/>
      <c r="CW80" s="170"/>
      <c r="CX80" s="170"/>
      <c r="CY80" s="170"/>
      <c r="CZ80" s="170"/>
      <c r="DA80" s="170"/>
      <c r="DB80" s="170"/>
      <c r="DC80" s="170"/>
      <c r="DD80" s="170"/>
      <c r="DE80" s="170"/>
      <c r="DF80" s="170"/>
      <c r="DG80" s="170"/>
      <c r="DH80" s="170"/>
      <c r="DI80" s="170"/>
      <c r="DJ80" s="170"/>
      <c r="DK80" s="170"/>
      <c r="DL80" s="170"/>
      <c r="DM80" s="170"/>
      <c r="DN80" s="170"/>
      <c r="DO80" s="170"/>
      <c r="DP80" s="170"/>
      <c r="DQ80" s="170"/>
      <c r="DR80" s="170"/>
      <c r="DS80" s="170"/>
      <c r="DT80" s="170"/>
      <c r="DU80" s="170"/>
      <c r="DV80" s="170"/>
      <c r="DW80" s="170"/>
      <c r="DX80" s="170"/>
      <c r="DY80" s="170"/>
      <c r="DZ80" s="170"/>
      <c r="EA80" s="170"/>
      <c r="EB80" s="170"/>
      <c r="EC80" s="170"/>
      <c r="ED80" s="170"/>
      <c r="EE80" s="170"/>
      <c r="EF80" s="170"/>
      <c r="EG80" s="170"/>
      <c r="EH80" s="170"/>
      <c r="EI80" s="170"/>
      <c r="EJ80" s="170"/>
      <c r="EK80" s="170"/>
      <c r="EL80" s="170"/>
      <c r="EM80" s="170"/>
      <c r="EN80" s="170"/>
      <c r="EO80" s="170"/>
      <c r="EP80" s="170"/>
      <c r="EQ80" s="170"/>
      <c r="ER80" s="170"/>
      <c r="ES80" s="170"/>
      <c r="ET80" s="170"/>
      <c r="EU80" s="170"/>
      <c r="EV80" s="170"/>
      <c r="EW80" s="170"/>
      <c r="EX80" s="170"/>
      <c r="EY80" s="170"/>
      <c r="EZ80" s="170"/>
      <c r="FA80" s="170"/>
      <c r="FB80" s="170"/>
      <c r="FC80" s="170"/>
      <c r="FD80" s="170"/>
      <c r="FE80" s="170"/>
      <c r="FF80" s="170"/>
      <c r="FG80" s="170"/>
      <c r="FH80" s="170"/>
      <c r="FI80" s="170"/>
      <c r="FJ80" s="170"/>
      <c r="FK80" s="170"/>
      <c r="FL80" s="170"/>
      <c r="FM80" s="170"/>
      <c r="FN80" s="170"/>
      <c r="FO80" s="170"/>
      <c r="FP80" s="170"/>
      <c r="FQ80" s="170"/>
      <c r="FR80" s="170"/>
      <c r="FS80" s="170"/>
      <c r="FT80" s="170"/>
      <c r="FU80" s="170"/>
      <c r="FV80" s="170"/>
      <c r="FW80" s="170"/>
      <c r="FX80" s="170"/>
      <c r="FY80" s="170"/>
      <c r="FZ80" s="170"/>
      <c r="GA80" s="170"/>
      <c r="GB80" s="170"/>
      <c r="GC80" s="170"/>
      <c r="GD80" s="170"/>
      <c r="GE80" s="170"/>
      <c r="GF80" s="170"/>
      <c r="GG80" s="170"/>
      <c r="GH80" s="170"/>
      <c r="GI80" s="170"/>
      <c r="GJ80" s="170"/>
      <c r="GK80" s="170"/>
      <c r="GL80" s="170"/>
      <c r="GM80" s="170"/>
      <c r="GN80" s="170"/>
      <c r="GO80" s="170"/>
      <c r="GP80" s="170"/>
      <c r="GQ80" s="170"/>
      <c r="GR80" s="170"/>
      <c r="GS80" s="170"/>
      <c r="GT80" s="170"/>
      <c r="GU80" s="170"/>
      <c r="GV80" s="170"/>
      <c r="GW80" s="170"/>
      <c r="GX80" s="170"/>
      <c r="GY80" s="170"/>
      <c r="GZ80" s="170"/>
      <c r="HA80" s="170"/>
      <c r="HB80" s="170"/>
      <c r="HC80" s="170"/>
      <c r="HD80" s="170"/>
      <c r="HE80" s="170"/>
      <c r="HF80" s="170"/>
      <c r="HG80" s="170"/>
      <c r="HH80" s="170"/>
      <c r="HI80" s="170"/>
      <c r="HJ80" s="170"/>
      <c r="HK80" s="170"/>
      <c r="HL80" s="170"/>
      <c r="HM80" s="170"/>
      <c r="HN80" s="170"/>
      <c r="HO80" s="170"/>
      <c r="HP80" s="170"/>
      <c r="HQ80" s="170"/>
      <c r="HR80" s="170"/>
      <c r="HS80" s="170"/>
      <c r="HT80" s="170"/>
      <c r="HU80" s="170"/>
      <c r="HV80" s="170"/>
      <c r="HW80" s="170"/>
      <c r="HX80" s="170"/>
      <c r="HY80" s="170"/>
      <c r="HZ80" s="170"/>
      <c r="IA80" s="170"/>
      <c r="IB80" s="170"/>
      <c r="IC80" s="170"/>
      <c r="ID80" s="170"/>
      <c r="IE80" s="170"/>
      <c r="IF80" s="170"/>
      <c r="IG80" s="170"/>
      <c r="IH80" s="170"/>
      <c r="II80" s="170"/>
      <c r="IJ80" s="170"/>
      <c r="IK80" s="170"/>
      <c r="IL80" s="170"/>
      <c r="IM80" s="170"/>
      <c r="IN80" s="170"/>
    </row>
    <row r="81" spans="1:248" s="169" customFormat="1" hidden="1">
      <c r="A81" s="108"/>
      <c r="B81" s="46" t="s">
        <v>151</v>
      </c>
      <c r="C81" s="51">
        <v>6.1</v>
      </c>
      <c r="D81" s="51">
        <v>4.24</v>
      </c>
      <c r="E81" s="51">
        <v>2.39</v>
      </c>
      <c r="F81" s="51">
        <v>0.78</v>
      </c>
      <c r="G81" s="51">
        <v>0.05</v>
      </c>
      <c r="H81" s="51">
        <v>0</v>
      </c>
      <c r="I81" s="51">
        <v>0.01</v>
      </c>
      <c r="J81" s="51">
        <v>0.39</v>
      </c>
      <c r="K81" s="51">
        <v>1.84</v>
      </c>
      <c r="L81" s="51">
        <v>3.72</v>
      </c>
      <c r="M81" s="51">
        <v>5.66</v>
      </c>
      <c r="N81" s="51">
        <v>7.12</v>
      </c>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170"/>
      <c r="BX81" s="170"/>
      <c r="BY81" s="170"/>
      <c r="BZ81" s="170"/>
      <c r="CA81" s="170"/>
      <c r="CB81" s="170"/>
      <c r="CC81" s="170"/>
      <c r="CD81" s="170"/>
      <c r="CE81" s="170"/>
      <c r="CF81" s="170"/>
      <c r="CG81" s="170"/>
      <c r="CH81" s="170"/>
      <c r="CI81" s="170"/>
      <c r="CJ81" s="170"/>
      <c r="CK81" s="170"/>
      <c r="CL81" s="170"/>
      <c r="CM81" s="170"/>
      <c r="CN81" s="170"/>
      <c r="CO81" s="170"/>
      <c r="CP81" s="170"/>
      <c r="CQ81" s="170"/>
      <c r="CR81" s="170"/>
      <c r="CS81" s="170"/>
      <c r="CT81" s="170"/>
      <c r="CU81" s="170"/>
      <c r="CV81" s="170"/>
      <c r="CW81" s="170"/>
      <c r="CX81" s="170"/>
      <c r="CY81" s="170"/>
      <c r="CZ81" s="170"/>
      <c r="DA81" s="170"/>
      <c r="DB81" s="170"/>
      <c r="DC81" s="170"/>
      <c r="DD81" s="170"/>
      <c r="DE81" s="170"/>
      <c r="DF81" s="170"/>
      <c r="DG81" s="170"/>
      <c r="DH81" s="170"/>
      <c r="DI81" s="170"/>
      <c r="DJ81" s="170"/>
      <c r="DK81" s="170"/>
      <c r="DL81" s="170"/>
      <c r="DM81" s="170"/>
      <c r="DN81" s="170"/>
      <c r="DO81" s="170"/>
      <c r="DP81" s="170"/>
      <c r="DQ81" s="170"/>
      <c r="DR81" s="170"/>
      <c r="DS81" s="170"/>
      <c r="DT81" s="170"/>
      <c r="DU81" s="170"/>
      <c r="DV81" s="170"/>
      <c r="DW81" s="170"/>
      <c r="DX81" s="170"/>
      <c r="DY81" s="170"/>
      <c r="DZ81" s="170"/>
      <c r="EA81" s="170"/>
      <c r="EB81" s="170"/>
      <c r="EC81" s="170"/>
      <c r="ED81" s="170"/>
      <c r="EE81" s="170"/>
      <c r="EF81" s="170"/>
      <c r="EG81" s="170"/>
      <c r="EH81" s="170"/>
      <c r="EI81" s="170"/>
      <c r="EJ81" s="170"/>
      <c r="EK81" s="170"/>
      <c r="EL81" s="170"/>
      <c r="EM81" s="170"/>
      <c r="EN81" s="170"/>
      <c r="EO81" s="170"/>
      <c r="EP81" s="170"/>
      <c r="EQ81" s="170"/>
      <c r="ER81" s="170"/>
      <c r="ES81" s="170"/>
      <c r="ET81" s="170"/>
      <c r="EU81" s="170"/>
      <c r="EV81" s="170"/>
      <c r="EW81" s="170"/>
      <c r="EX81" s="170"/>
      <c r="EY81" s="170"/>
      <c r="EZ81" s="170"/>
      <c r="FA81" s="170"/>
      <c r="FB81" s="170"/>
      <c r="FC81" s="170"/>
      <c r="FD81" s="170"/>
      <c r="FE81" s="170"/>
      <c r="FF81" s="170"/>
      <c r="FG81" s="170"/>
      <c r="FH81" s="170"/>
      <c r="FI81" s="170"/>
      <c r="FJ81" s="170"/>
      <c r="FK81" s="170"/>
      <c r="FL81" s="170"/>
      <c r="FM81" s="170"/>
      <c r="FN81" s="170"/>
      <c r="FO81" s="170"/>
      <c r="FP81" s="170"/>
      <c r="FQ81" s="170"/>
      <c r="FR81" s="170"/>
      <c r="FS81" s="170"/>
      <c r="FT81" s="170"/>
      <c r="FU81" s="170"/>
      <c r="FV81" s="170"/>
      <c r="FW81" s="170"/>
      <c r="FX81" s="170"/>
      <c r="FY81" s="170"/>
      <c r="FZ81" s="170"/>
      <c r="GA81" s="170"/>
      <c r="GB81" s="170"/>
      <c r="GC81" s="170"/>
      <c r="GD81" s="170"/>
      <c r="GE81" s="170"/>
      <c r="GF81" s="170"/>
      <c r="GG81" s="170"/>
      <c r="GH81" s="170"/>
      <c r="GI81" s="170"/>
      <c r="GJ81" s="170"/>
      <c r="GK81" s="170"/>
      <c r="GL81" s="170"/>
      <c r="GM81" s="170"/>
      <c r="GN81" s="170"/>
      <c r="GO81" s="170"/>
      <c r="GP81" s="170"/>
      <c r="GQ81" s="170"/>
      <c r="GR81" s="170"/>
      <c r="GS81" s="170"/>
      <c r="GT81" s="170"/>
      <c r="GU81" s="170"/>
      <c r="GV81" s="170"/>
      <c r="GW81" s="170"/>
      <c r="GX81" s="170"/>
      <c r="GY81" s="170"/>
      <c r="GZ81" s="170"/>
      <c r="HA81" s="170"/>
      <c r="HB81" s="170"/>
      <c r="HC81" s="170"/>
      <c r="HD81" s="170"/>
      <c r="HE81" s="170"/>
      <c r="HF81" s="170"/>
      <c r="HG81" s="170"/>
      <c r="HH81" s="170"/>
      <c r="HI81" s="170"/>
      <c r="HJ81" s="170"/>
      <c r="HK81" s="170"/>
      <c r="HL81" s="170"/>
      <c r="HM81" s="170"/>
      <c r="HN81" s="170"/>
      <c r="HO81" s="170"/>
      <c r="HP81" s="170"/>
      <c r="HQ81" s="170"/>
      <c r="HR81" s="170"/>
      <c r="HS81" s="170"/>
      <c r="HT81" s="170"/>
      <c r="HU81" s="170"/>
      <c r="HV81" s="170"/>
      <c r="HW81" s="170"/>
      <c r="HX81" s="170"/>
      <c r="HY81" s="170"/>
      <c r="HZ81" s="170"/>
      <c r="IA81" s="170"/>
      <c r="IB81" s="170"/>
      <c r="IC81" s="170"/>
      <c r="ID81" s="170"/>
      <c r="IE81" s="170"/>
      <c r="IF81" s="170"/>
      <c r="IG81" s="170"/>
      <c r="IH81" s="170"/>
      <c r="II81" s="170"/>
      <c r="IJ81" s="170"/>
      <c r="IK81" s="170"/>
      <c r="IL81" s="170"/>
      <c r="IM81" s="170"/>
      <c r="IN81" s="170"/>
    </row>
    <row r="82" spans="1:248" s="169" customFormat="1" hidden="1">
      <c r="A82" s="108"/>
      <c r="B82" s="46" t="s">
        <v>69</v>
      </c>
      <c r="C82" s="51">
        <v>1.44</v>
      </c>
      <c r="D82" s="51">
        <v>2.29</v>
      </c>
      <c r="E82" s="51">
        <v>3.4</v>
      </c>
      <c r="F82" s="51">
        <v>4.32</v>
      </c>
      <c r="G82" s="51">
        <v>5.19</v>
      </c>
      <c r="H82" s="51">
        <v>5.27</v>
      </c>
      <c r="I82" s="51">
        <v>5.3</v>
      </c>
      <c r="J82" s="51">
        <v>4.58</v>
      </c>
      <c r="K82" s="51">
        <v>3.43</v>
      </c>
      <c r="L82" s="51">
        <v>2.34</v>
      </c>
      <c r="M82" s="51">
        <v>1.44</v>
      </c>
      <c r="N82" s="51">
        <v>1.1200000000000001</v>
      </c>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70"/>
      <c r="BX82" s="170"/>
      <c r="BY82" s="170"/>
      <c r="BZ82" s="170"/>
      <c r="CA82" s="170"/>
      <c r="CB82" s="170"/>
      <c r="CC82" s="170"/>
      <c r="CD82" s="170"/>
      <c r="CE82" s="170"/>
      <c r="CF82" s="170"/>
      <c r="CG82" s="170"/>
      <c r="CH82" s="170"/>
      <c r="CI82" s="170"/>
      <c r="CJ82" s="170"/>
      <c r="CK82" s="170"/>
      <c r="CL82" s="170"/>
      <c r="CM82" s="170"/>
      <c r="CN82" s="170"/>
      <c r="CO82" s="170"/>
      <c r="CP82" s="170"/>
      <c r="CQ82" s="170"/>
      <c r="CR82" s="170"/>
      <c r="CS82" s="170"/>
      <c r="CT82" s="170"/>
      <c r="CU82" s="170"/>
      <c r="CV82" s="170"/>
      <c r="CW82" s="170"/>
      <c r="CX82" s="170"/>
      <c r="CY82" s="170"/>
      <c r="CZ82" s="170"/>
      <c r="DA82" s="170"/>
      <c r="DB82" s="170"/>
      <c r="DC82" s="170"/>
      <c r="DD82" s="170"/>
      <c r="DE82" s="170"/>
      <c r="DF82" s="170"/>
      <c r="DG82" s="170"/>
      <c r="DH82" s="170"/>
      <c r="DI82" s="170"/>
      <c r="DJ82" s="170"/>
      <c r="DK82" s="170"/>
      <c r="DL82" s="170"/>
      <c r="DM82" s="170"/>
      <c r="DN82" s="170"/>
      <c r="DO82" s="170"/>
      <c r="DP82" s="170"/>
      <c r="DQ82" s="170"/>
      <c r="DR82" s="170"/>
      <c r="DS82" s="170"/>
      <c r="DT82" s="170"/>
      <c r="DU82" s="170"/>
      <c r="DV82" s="170"/>
      <c r="DW82" s="170"/>
      <c r="DX82" s="170"/>
      <c r="DY82" s="170"/>
      <c r="DZ82" s="170"/>
      <c r="EA82" s="170"/>
      <c r="EB82" s="170"/>
      <c r="EC82" s="170"/>
      <c r="ED82" s="170"/>
      <c r="EE82" s="170"/>
      <c r="EF82" s="170"/>
      <c r="EG82" s="170"/>
      <c r="EH82" s="170"/>
      <c r="EI82" s="170"/>
      <c r="EJ82" s="170"/>
      <c r="EK82" s="170"/>
      <c r="EL82" s="170"/>
      <c r="EM82" s="170"/>
      <c r="EN82" s="170"/>
      <c r="EO82" s="170"/>
      <c r="EP82" s="170"/>
      <c r="EQ82" s="170"/>
      <c r="ER82" s="170"/>
      <c r="ES82" s="170"/>
      <c r="ET82" s="170"/>
      <c r="EU82" s="170"/>
      <c r="EV82" s="170"/>
      <c r="EW82" s="170"/>
      <c r="EX82" s="170"/>
      <c r="EY82" s="170"/>
      <c r="EZ82" s="170"/>
      <c r="FA82" s="170"/>
      <c r="FB82" s="170"/>
      <c r="FC82" s="170"/>
      <c r="FD82" s="170"/>
      <c r="FE82" s="170"/>
      <c r="FF82" s="170"/>
      <c r="FG82" s="170"/>
      <c r="FH82" s="170"/>
      <c r="FI82" s="170"/>
      <c r="FJ82" s="170"/>
      <c r="FK82" s="170"/>
      <c r="FL82" s="170"/>
      <c r="FM82" s="170"/>
      <c r="FN82" s="170"/>
      <c r="FO82" s="170"/>
      <c r="FP82" s="170"/>
      <c r="FQ82" s="170"/>
      <c r="FR82" s="170"/>
      <c r="FS82" s="170"/>
      <c r="FT82" s="170"/>
      <c r="FU82" s="170"/>
      <c r="FV82" s="170"/>
      <c r="FW82" s="170"/>
      <c r="FX82" s="170"/>
      <c r="FY82" s="170"/>
      <c r="FZ82" s="170"/>
      <c r="GA82" s="170"/>
      <c r="GB82" s="170"/>
      <c r="GC82" s="170"/>
      <c r="GD82" s="170"/>
      <c r="GE82" s="170"/>
      <c r="GF82" s="170"/>
      <c r="GG82" s="170"/>
      <c r="GH82" s="170"/>
      <c r="GI82" s="170"/>
      <c r="GJ82" s="170"/>
      <c r="GK82" s="170"/>
      <c r="GL82" s="170"/>
      <c r="GM82" s="170"/>
      <c r="GN82" s="170"/>
      <c r="GO82" s="170"/>
      <c r="GP82" s="170"/>
      <c r="GQ82" s="170"/>
      <c r="GR82" s="170"/>
      <c r="GS82" s="170"/>
      <c r="GT82" s="170"/>
      <c r="GU82" s="170"/>
      <c r="GV82" s="170"/>
      <c r="GW82" s="170"/>
      <c r="GX82" s="170"/>
      <c r="GY82" s="170"/>
      <c r="GZ82" s="170"/>
      <c r="HA82" s="170"/>
      <c r="HB82" s="170"/>
      <c r="HC82" s="170"/>
      <c r="HD82" s="170"/>
      <c r="HE82" s="170"/>
      <c r="HF82" s="170"/>
      <c r="HG82" s="170"/>
      <c r="HH82" s="170"/>
      <c r="HI82" s="170"/>
      <c r="HJ82" s="170"/>
      <c r="HK82" s="170"/>
      <c r="HL82" s="170"/>
      <c r="HM82" s="170"/>
      <c r="HN82" s="170"/>
      <c r="HO82" s="170"/>
      <c r="HP82" s="170"/>
      <c r="HQ82" s="170"/>
      <c r="HR82" s="170"/>
      <c r="HS82" s="170"/>
      <c r="HT82" s="170"/>
      <c r="HU82" s="170"/>
      <c r="HV82" s="170"/>
      <c r="HW82" s="170"/>
      <c r="HX82" s="170"/>
      <c r="HY82" s="170"/>
      <c r="HZ82" s="170"/>
      <c r="IA82" s="170"/>
      <c r="IB82" s="170"/>
      <c r="IC82" s="170"/>
      <c r="ID82" s="170"/>
      <c r="IE82" s="170"/>
      <c r="IF82" s="170"/>
      <c r="IG82" s="170"/>
      <c r="IH82" s="170"/>
      <c r="II82" s="170"/>
      <c r="IJ82" s="170"/>
      <c r="IK82" s="170"/>
      <c r="IL82" s="170"/>
      <c r="IM82" s="170"/>
      <c r="IN82" s="170"/>
    </row>
    <row r="83" spans="1:248" s="169" customFormat="1" hidden="1">
      <c r="A83" s="108"/>
      <c r="B83" s="46" t="s">
        <v>66</v>
      </c>
      <c r="C83" s="51">
        <v>1.1499999999999999</v>
      </c>
      <c r="D83" s="51">
        <v>1.99</v>
      </c>
      <c r="E83" s="51">
        <v>2.98</v>
      </c>
      <c r="F83" s="51">
        <v>4.18</v>
      </c>
      <c r="G83" s="51">
        <v>5.28</v>
      </c>
      <c r="H83" s="51">
        <v>5.34</v>
      </c>
      <c r="I83" s="51">
        <v>5.23</v>
      </c>
      <c r="J83" s="51">
        <v>4.75</v>
      </c>
      <c r="K83" s="51">
        <v>3.33</v>
      </c>
      <c r="L83" s="51">
        <v>1.99</v>
      </c>
      <c r="M83" s="51">
        <v>1.1200000000000001</v>
      </c>
      <c r="N83" s="51">
        <v>0.89</v>
      </c>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0"/>
      <c r="CG83" s="170"/>
      <c r="CH83" s="170"/>
      <c r="CI83" s="170"/>
      <c r="CJ83" s="170"/>
      <c r="CK83" s="170"/>
      <c r="CL83" s="170"/>
      <c r="CM83" s="170"/>
      <c r="CN83" s="170"/>
      <c r="CO83" s="170"/>
      <c r="CP83" s="170"/>
      <c r="CQ83" s="170"/>
      <c r="CR83" s="170"/>
      <c r="CS83" s="170"/>
      <c r="CT83" s="170"/>
      <c r="CU83" s="170"/>
      <c r="CV83" s="170"/>
      <c r="CW83" s="170"/>
      <c r="CX83" s="170"/>
      <c r="CY83" s="170"/>
      <c r="CZ83" s="170"/>
      <c r="DA83" s="170"/>
      <c r="DB83" s="170"/>
      <c r="DC83" s="170"/>
      <c r="DD83" s="170"/>
      <c r="DE83" s="170"/>
      <c r="DF83" s="170"/>
      <c r="DG83" s="170"/>
      <c r="DH83" s="170"/>
      <c r="DI83" s="170"/>
      <c r="DJ83" s="170"/>
      <c r="DK83" s="170"/>
      <c r="DL83" s="170"/>
      <c r="DM83" s="170"/>
      <c r="DN83" s="170"/>
      <c r="DO83" s="170"/>
      <c r="DP83" s="170"/>
      <c r="DQ83" s="170"/>
      <c r="DR83" s="170"/>
      <c r="DS83" s="170"/>
      <c r="DT83" s="170"/>
      <c r="DU83" s="170"/>
      <c r="DV83" s="170"/>
      <c r="DW83" s="170"/>
      <c r="DX83" s="170"/>
      <c r="DY83" s="170"/>
      <c r="DZ83" s="170"/>
      <c r="EA83" s="170"/>
      <c r="EB83" s="170"/>
      <c r="EC83" s="170"/>
      <c r="ED83" s="170"/>
      <c r="EE83" s="170"/>
      <c r="EF83" s="170"/>
      <c r="EG83" s="170"/>
      <c r="EH83" s="170"/>
      <c r="EI83" s="170"/>
      <c r="EJ83" s="170"/>
      <c r="EK83" s="170"/>
      <c r="EL83" s="170"/>
      <c r="EM83" s="170"/>
      <c r="EN83" s="170"/>
      <c r="EO83" s="170"/>
      <c r="EP83" s="170"/>
      <c r="EQ83" s="170"/>
      <c r="ER83" s="170"/>
      <c r="ES83" s="170"/>
      <c r="ET83" s="170"/>
      <c r="EU83" s="170"/>
      <c r="EV83" s="170"/>
      <c r="EW83" s="170"/>
      <c r="EX83" s="170"/>
      <c r="EY83" s="170"/>
      <c r="EZ83" s="170"/>
      <c r="FA83" s="170"/>
      <c r="FB83" s="170"/>
      <c r="FC83" s="170"/>
      <c r="FD83" s="170"/>
      <c r="FE83" s="170"/>
      <c r="FF83" s="170"/>
      <c r="FG83" s="170"/>
      <c r="FH83" s="170"/>
      <c r="FI83" s="170"/>
      <c r="FJ83" s="170"/>
      <c r="FK83" s="170"/>
      <c r="FL83" s="170"/>
      <c r="FM83" s="170"/>
      <c r="FN83" s="170"/>
      <c r="FO83" s="170"/>
      <c r="FP83" s="170"/>
      <c r="FQ83" s="170"/>
      <c r="FR83" s="170"/>
      <c r="FS83" s="170"/>
      <c r="FT83" s="170"/>
      <c r="FU83" s="170"/>
      <c r="FV83" s="170"/>
      <c r="FW83" s="170"/>
      <c r="FX83" s="170"/>
      <c r="FY83" s="170"/>
      <c r="FZ83" s="170"/>
      <c r="GA83" s="170"/>
      <c r="GB83" s="170"/>
      <c r="GC83" s="170"/>
      <c r="GD83" s="170"/>
      <c r="GE83" s="170"/>
      <c r="GF83" s="170"/>
      <c r="GG83" s="170"/>
      <c r="GH83" s="170"/>
      <c r="GI83" s="170"/>
      <c r="GJ83" s="170"/>
      <c r="GK83" s="170"/>
      <c r="GL83" s="170"/>
      <c r="GM83" s="170"/>
      <c r="GN83" s="170"/>
      <c r="GO83" s="170"/>
      <c r="GP83" s="170"/>
      <c r="GQ83" s="170"/>
      <c r="GR83" s="170"/>
      <c r="GS83" s="170"/>
      <c r="GT83" s="170"/>
      <c r="GU83" s="170"/>
      <c r="GV83" s="170"/>
      <c r="GW83" s="170"/>
      <c r="GX83" s="170"/>
      <c r="GY83" s="170"/>
      <c r="GZ83" s="170"/>
      <c r="HA83" s="170"/>
      <c r="HB83" s="170"/>
      <c r="HC83" s="170"/>
      <c r="HD83" s="170"/>
      <c r="HE83" s="170"/>
      <c r="HF83" s="170"/>
      <c r="HG83" s="170"/>
      <c r="HH83" s="170"/>
      <c r="HI83" s="170"/>
      <c r="HJ83" s="170"/>
      <c r="HK83" s="170"/>
      <c r="HL83" s="170"/>
      <c r="HM83" s="170"/>
      <c r="HN83" s="170"/>
      <c r="HO83" s="170"/>
      <c r="HP83" s="170"/>
      <c r="HQ83" s="170"/>
      <c r="HR83" s="170"/>
      <c r="HS83" s="170"/>
      <c r="HT83" s="170"/>
      <c r="HU83" s="170"/>
      <c r="HV83" s="170"/>
      <c r="HW83" s="170"/>
      <c r="HX83" s="170"/>
      <c r="HY83" s="170"/>
      <c r="HZ83" s="170"/>
      <c r="IA83" s="170"/>
      <c r="IB83" s="170"/>
      <c r="IC83" s="170"/>
      <c r="ID83" s="170"/>
      <c r="IE83" s="170"/>
      <c r="IF83" s="170"/>
      <c r="IG83" s="170"/>
      <c r="IH83" s="170"/>
      <c r="II83" s="170"/>
      <c r="IJ83" s="170"/>
      <c r="IK83" s="170"/>
      <c r="IL83" s="170"/>
      <c r="IM83" s="170"/>
      <c r="IN83" s="170"/>
    </row>
    <row r="84" spans="1:248" s="169" customFormat="1" hidden="1">
      <c r="A84" s="108"/>
      <c r="B84" s="46" t="s">
        <v>31</v>
      </c>
      <c r="C84" s="51">
        <v>0.82</v>
      </c>
      <c r="D84" s="51">
        <v>1.48</v>
      </c>
      <c r="E84" s="51">
        <v>2.52</v>
      </c>
      <c r="F84" s="51">
        <v>3.73</v>
      </c>
      <c r="G84" s="51">
        <v>4.91</v>
      </c>
      <c r="H84" s="51">
        <v>4.96</v>
      </c>
      <c r="I84" s="51">
        <v>4.8499999999999996</v>
      </c>
      <c r="J84" s="51">
        <v>4.3</v>
      </c>
      <c r="K84" s="51">
        <v>2.89</v>
      </c>
      <c r="L84" s="51">
        <v>1.72</v>
      </c>
      <c r="M84" s="51">
        <v>0.95</v>
      </c>
      <c r="N84" s="51">
        <v>0.61</v>
      </c>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0"/>
      <c r="CG84" s="170"/>
      <c r="CH84" s="170"/>
      <c r="CI84" s="170"/>
      <c r="CJ84" s="170"/>
      <c r="CK84" s="170"/>
      <c r="CL84" s="170"/>
      <c r="CM84" s="170"/>
      <c r="CN84" s="170"/>
      <c r="CO84" s="170"/>
      <c r="CP84" s="170"/>
      <c r="CQ84" s="170"/>
      <c r="CR84" s="170"/>
      <c r="CS84" s="170"/>
      <c r="CT84" s="170"/>
      <c r="CU84" s="170"/>
      <c r="CV84" s="170"/>
      <c r="CW84" s="170"/>
      <c r="CX84" s="170"/>
      <c r="CY84" s="170"/>
      <c r="CZ84" s="170"/>
      <c r="DA84" s="170"/>
      <c r="DB84" s="170"/>
      <c r="DC84" s="170"/>
      <c r="DD84" s="170"/>
      <c r="DE84" s="170"/>
      <c r="DF84" s="170"/>
      <c r="DG84" s="170"/>
      <c r="DH84" s="170"/>
      <c r="DI84" s="170"/>
      <c r="DJ84" s="170"/>
      <c r="DK84" s="170"/>
      <c r="DL84" s="170"/>
      <c r="DM84" s="170"/>
      <c r="DN84" s="170"/>
      <c r="DO84" s="170"/>
      <c r="DP84" s="170"/>
      <c r="DQ84" s="170"/>
      <c r="DR84" s="170"/>
      <c r="DS84" s="170"/>
      <c r="DT84" s="170"/>
      <c r="DU84" s="170"/>
      <c r="DV84" s="170"/>
      <c r="DW84" s="170"/>
      <c r="DX84" s="170"/>
      <c r="DY84" s="170"/>
      <c r="DZ84" s="170"/>
      <c r="EA84" s="170"/>
      <c r="EB84" s="170"/>
      <c r="EC84" s="170"/>
      <c r="ED84" s="170"/>
      <c r="EE84" s="170"/>
      <c r="EF84" s="170"/>
      <c r="EG84" s="170"/>
      <c r="EH84" s="170"/>
      <c r="EI84" s="170"/>
      <c r="EJ84" s="170"/>
      <c r="EK84" s="170"/>
      <c r="EL84" s="170"/>
      <c r="EM84" s="170"/>
      <c r="EN84" s="170"/>
      <c r="EO84" s="170"/>
      <c r="EP84" s="170"/>
      <c r="EQ84" s="170"/>
      <c r="ER84" s="170"/>
      <c r="ES84" s="170"/>
      <c r="ET84" s="170"/>
      <c r="EU84" s="170"/>
      <c r="EV84" s="170"/>
      <c r="EW84" s="170"/>
      <c r="EX84" s="170"/>
      <c r="EY84" s="170"/>
      <c r="EZ84" s="170"/>
      <c r="FA84" s="170"/>
      <c r="FB84" s="170"/>
      <c r="FC84" s="170"/>
      <c r="FD84" s="170"/>
      <c r="FE84" s="170"/>
      <c r="FF84" s="170"/>
      <c r="FG84" s="170"/>
      <c r="FH84" s="170"/>
      <c r="FI84" s="170"/>
      <c r="FJ84" s="170"/>
      <c r="FK84" s="170"/>
      <c r="FL84" s="170"/>
      <c r="FM84" s="170"/>
      <c r="FN84" s="170"/>
      <c r="FO84" s="170"/>
      <c r="FP84" s="170"/>
      <c r="FQ84" s="170"/>
      <c r="FR84" s="170"/>
      <c r="FS84" s="170"/>
      <c r="FT84" s="170"/>
      <c r="FU84" s="170"/>
      <c r="FV84" s="170"/>
      <c r="FW84" s="170"/>
      <c r="FX84" s="170"/>
      <c r="FY84" s="170"/>
      <c r="FZ84" s="170"/>
      <c r="GA84" s="170"/>
      <c r="GB84" s="170"/>
      <c r="GC84" s="170"/>
      <c r="GD84" s="170"/>
      <c r="GE84" s="170"/>
      <c r="GF84" s="170"/>
      <c r="GG84" s="170"/>
      <c r="GH84" s="170"/>
      <c r="GI84" s="170"/>
      <c r="GJ84" s="170"/>
      <c r="GK84" s="170"/>
      <c r="GL84" s="170"/>
      <c r="GM84" s="170"/>
      <c r="GN84" s="170"/>
      <c r="GO84" s="170"/>
      <c r="GP84" s="170"/>
      <c r="GQ84" s="170"/>
      <c r="GR84" s="170"/>
      <c r="GS84" s="170"/>
      <c r="GT84" s="170"/>
      <c r="GU84" s="170"/>
      <c r="GV84" s="170"/>
      <c r="GW84" s="170"/>
      <c r="GX84" s="170"/>
      <c r="GY84" s="170"/>
      <c r="GZ84" s="170"/>
      <c r="HA84" s="170"/>
      <c r="HB84" s="170"/>
      <c r="HC84" s="170"/>
      <c r="HD84" s="170"/>
      <c r="HE84" s="170"/>
      <c r="HF84" s="170"/>
      <c r="HG84" s="170"/>
      <c r="HH84" s="170"/>
      <c r="HI84" s="170"/>
      <c r="HJ84" s="170"/>
      <c r="HK84" s="170"/>
      <c r="HL84" s="170"/>
      <c r="HM84" s="170"/>
      <c r="HN84" s="170"/>
      <c r="HO84" s="170"/>
      <c r="HP84" s="170"/>
      <c r="HQ84" s="170"/>
      <c r="HR84" s="170"/>
      <c r="HS84" s="170"/>
      <c r="HT84" s="170"/>
      <c r="HU84" s="170"/>
      <c r="HV84" s="170"/>
      <c r="HW84" s="170"/>
      <c r="HX84" s="170"/>
      <c r="HY84" s="170"/>
      <c r="HZ84" s="170"/>
      <c r="IA84" s="170"/>
      <c r="IB84" s="170"/>
      <c r="IC84" s="170"/>
      <c r="ID84" s="170"/>
      <c r="IE84" s="170"/>
      <c r="IF84" s="170"/>
      <c r="IG84" s="170"/>
      <c r="IH84" s="170"/>
      <c r="II84" s="170"/>
      <c r="IJ84" s="170"/>
      <c r="IK84" s="170"/>
      <c r="IL84" s="170"/>
      <c r="IM84" s="170"/>
      <c r="IN84" s="170"/>
    </row>
    <row r="85" spans="1:248" s="169" customFormat="1" hidden="1">
      <c r="A85" s="108"/>
      <c r="B85" s="46" t="s">
        <v>36</v>
      </c>
      <c r="C85" s="51">
        <v>6.05</v>
      </c>
      <c r="D85" s="51">
        <v>5.74</v>
      </c>
      <c r="E85" s="51">
        <v>5.41</v>
      </c>
      <c r="F85" s="51">
        <v>4.96</v>
      </c>
      <c r="G85" s="51">
        <v>5.29</v>
      </c>
      <c r="H85" s="51">
        <v>5.51</v>
      </c>
      <c r="I85" s="51">
        <v>5.81</v>
      </c>
      <c r="J85" s="51">
        <v>6.45</v>
      </c>
      <c r="K85" s="51">
        <v>7.09</v>
      </c>
      <c r="L85" s="51">
        <v>7.32</v>
      </c>
      <c r="M85" s="51">
        <v>7.1</v>
      </c>
      <c r="N85" s="51">
        <v>6.67</v>
      </c>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0"/>
      <c r="CG85" s="170"/>
      <c r="CH85" s="170"/>
      <c r="CI85" s="170"/>
      <c r="CJ85" s="170"/>
      <c r="CK85" s="170"/>
      <c r="CL85" s="170"/>
      <c r="CM85" s="170"/>
      <c r="CN85" s="170"/>
      <c r="CO85" s="170"/>
      <c r="CP85" s="170"/>
      <c r="CQ85" s="170"/>
      <c r="CR85" s="170"/>
      <c r="CS85" s="170"/>
      <c r="CT85" s="170"/>
      <c r="CU85" s="170"/>
      <c r="CV85" s="170"/>
      <c r="CW85" s="170"/>
      <c r="CX85" s="170"/>
      <c r="CY85" s="170"/>
      <c r="CZ85" s="170"/>
      <c r="DA85" s="170"/>
      <c r="DB85" s="170"/>
      <c r="DC85" s="170"/>
      <c r="DD85" s="170"/>
      <c r="DE85" s="170"/>
      <c r="DF85" s="170"/>
      <c r="DG85" s="170"/>
      <c r="DH85" s="170"/>
      <c r="DI85" s="170"/>
      <c r="DJ85" s="170"/>
      <c r="DK85" s="170"/>
      <c r="DL85" s="170"/>
      <c r="DM85" s="170"/>
      <c r="DN85" s="170"/>
      <c r="DO85" s="170"/>
      <c r="DP85" s="170"/>
      <c r="DQ85" s="170"/>
      <c r="DR85" s="170"/>
      <c r="DS85" s="170"/>
      <c r="DT85" s="170"/>
      <c r="DU85" s="170"/>
      <c r="DV85" s="170"/>
      <c r="DW85" s="170"/>
      <c r="DX85" s="170"/>
      <c r="DY85" s="170"/>
      <c r="DZ85" s="170"/>
      <c r="EA85" s="170"/>
      <c r="EB85" s="170"/>
      <c r="EC85" s="170"/>
      <c r="ED85" s="170"/>
      <c r="EE85" s="170"/>
      <c r="EF85" s="170"/>
      <c r="EG85" s="170"/>
      <c r="EH85" s="170"/>
      <c r="EI85" s="170"/>
      <c r="EJ85" s="170"/>
      <c r="EK85" s="170"/>
      <c r="EL85" s="170"/>
      <c r="EM85" s="170"/>
      <c r="EN85" s="170"/>
      <c r="EO85" s="170"/>
      <c r="EP85" s="170"/>
      <c r="EQ85" s="170"/>
      <c r="ER85" s="170"/>
      <c r="ES85" s="170"/>
      <c r="ET85" s="170"/>
      <c r="EU85" s="170"/>
      <c r="EV85" s="170"/>
      <c r="EW85" s="170"/>
      <c r="EX85" s="170"/>
      <c r="EY85" s="170"/>
      <c r="EZ85" s="170"/>
      <c r="FA85" s="170"/>
      <c r="FB85" s="170"/>
      <c r="FC85" s="170"/>
      <c r="FD85" s="170"/>
      <c r="FE85" s="170"/>
      <c r="FF85" s="170"/>
      <c r="FG85" s="170"/>
      <c r="FH85" s="170"/>
      <c r="FI85" s="170"/>
      <c r="FJ85" s="170"/>
      <c r="FK85" s="170"/>
      <c r="FL85" s="170"/>
      <c r="FM85" s="170"/>
      <c r="FN85" s="170"/>
      <c r="FO85" s="170"/>
      <c r="FP85" s="170"/>
      <c r="FQ85" s="170"/>
      <c r="FR85" s="170"/>
      <c r="FS85" s="170"/>
      <c r="FT85" s="170"/>
      <c r="FU85" s="170"/>
      <c r="FV85" s="170"/>
      <c r="FW85" s="170"/>
      <c r="FX85" s="170"/>
      <c r="FY85" s="170"/>
      <c r="FZ85" s="170"/>
      <c r="GA85" s="170"/>
      <c r="GB85" s="170"/>
      <c r="GC85" s="170"/>
      <c r="GD85" s="170"/>
      <c r="GE85" s="170"/>
      <c r="GF85" s="170"/>
      <c r="GG85" s="170"/>
      <c r="GH85" s="170"/>
      <c r="GI85" s="170"/>
      <c r="GJ85" s="170"/>
      <c r="GK85" s="170"/>
      <c r="GL85" s="170"/>
      <c r="GM85" s="170"/>
      <c r="GN85" s="170"/>
      <c r="GO85" s="170"/>
      <c r="GP85" s="170"/>
      <c r="GQ85" s="170"/>
      <c r="GR85" s="170"/>
      <c r="GS85" s="170"/>
      <c r="GT85" s="170"/>
      <c r="GU85" s="170"/>
      <c r="GV85" s="170"/>
      <c r="GW85" s="170"/>
      <c r="GX85" s="170"/>
      <c r="GY85" s="170"/>
      <c r="GZ85" s="170"/>
      <c r="HA85" s="170"/>
      <c r="HB85" s="170"/>
      <c r="HC85" s="170"/>
      <c r="HD85" s="170"/>
      <c r="HE85" s="170"/>
      <c r="HF85" s="170"/>
      <c r="HG85" s="170"/>
      <c r="HH85" s="170"/>
      <c r="HI85" s="170"/>
      <c r="HJ85" s="170"/>
      <c r="HK85" s="170"/>
      <c r="HL85" s="170"/>
      <c r="HM85" s="170"/>
      <c r="HN85" s="170"/>
      <c r="HO85" s="170"/>
      <c r="HP85" s="170"/>
      <c r="HQ85" s="170"/>
      <c r="HR85" s="170"/>
      <c r="HS85" s="170"/>
      <c r="HT85" s="170"/>
      <c r="HU85" s="170"/>
      <c r="HV85" s="170"/>
      <c r="HW85" s="170"/>
      <c r="HX85" s="170"/>
      <c r="HY85" s="170"/>
      <c r="HZ85" s="170"/>
      <c r="IA85" s="170"/>
      <c r="IB85" s="170"/>
      <c r="IC85" s="170"/>
      <c r="ID85" s="170"/>
      <c r="IE85" s="170"/>
      <c r="IF85" s="170"/>
      <c r="IG85" s="170"/>
      <c r="IH85" s="170"/>
      <c r="II85" s="170"/>
      <c r="IJ85" s="170"/>
      <c r="IK85" s="170"/>
      <c r="IL85" s="170"/>
      <c r="IM85" s="170"/>
      <c r="IN85" s="170"/>
    </row>
    <row r="86" spans="1:248" s="169" customFormat="1" hidden="1">
      <c r="A86" s="108"/>
      <c r="B86" s="46" t="s">
        <v>57</v>
      </c>
      <c r="C86" s="51">
        <v>5.35</v>
      </c>
      <c r="D86" s="51">
        <v>5.49</v>
      </c>
      <c r="E86" s="51">
        <v>4.8099999999999996</v>
      </c>
      <c r="F86" s="51">
        <v>4.28</v>
      </c>
      <c r="G86" s="51">
        <v>3.6</v>
      </c>
      <c r="H86" s="51">
        <v>3.58</v>
      </c>
      <c r="I86" s="51">
        <v>3.58</v>
      </c>
      <c r="J86" s="51">
        <v>4.1500000000000004</v>
      </c>
      <c r="K86" s="51">
        <v>4.07</v>
      </c>
      <c r="L86" s="51">
        <v>4.62</v>
      </c>
      <c r="M86" s="51">
        <v>4.9400000000000004</v>
      </c>
      <c r="N86" s="51">
        <v>5.04</v>
      </c>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0"/>
      <c r="CG86" s="170"/>
      <c r="CH86" s="170"/>
      <c r="CI86" s="170"/>
      <c r="CJ86" s="170"/>
      <c r="CK86" s="170"/>
      <c r="CL86" s="170"/>
      <c r="CM86" s="170"/>
      <c r="CN86" s="170"/>
      <c r="CO86" s="170"/>
      <c r="CP86" s="170"/>
      <c r="CQ86" s="170"/>
      <c r="CR86" s="170"/>
      <c r="CS86" s="170"/>
      <c r="CT86" s="170"/>
      <c r="CU86" s="170"/>
      <c r="CV86" s="170"/>
      <c r="CW86" s="170"/>
      <c r="CX86" s="170"/>
      <c r="CY86" s="170"/>
      <c r="CZ86" s="170"/>
      <c r="DA86" s="170"/>
      <c r="DB86" s="170"/>
      <c r="DC86" s="170"/>
      <c r="DD86" s="170"/>
      <c r="DE86" s="170"/>
      <c r="DF86" s="170"/>
      <c r="DG86" s="170"/>
      <c r="DH86" s="170"/>
      <c r="DI86" s="170"/>
      <c r="DJ86" s="170"/>
      <c r="DK86" s="170"/>
      <c r="DL86" s="170"/>
      <c r="DM86" s="170"/>
      <c r="DN86" s="170"/>
      <c r="DO86" s="170"/>
      <c r="DP86" s="170"/>
      <c r="DQ86" s="170"/>
      <c r="DR86" s="170"/>
      <c r="DS86" s="170"/>
      <c r="DT86" s="170"/>
      <c r="DU86" s="170"/>
      <c r="DV86" s="170"/>
      <c r="DW86" s="170"/>
      <c r="DX86" s="170"/>
      <c r="DY86" s="170"/>
      <c r="DZ86" s="170"/>
      <c r="EA86" s="170"/>
      <c r="EB86" s="170"/>
      <c r="EC86" s="170"/>
      <c r="ED86" s="170"/>
      <c r="EE86" s="170"/>
      <c r="EF86" s="170"/>
      <c r="EG86" s="170"/>
      <c r="EH86" s="170"/>
      <c r="EI86" s="170"/>
      <c r="EJ86" s="170"/>
      <c r="EK86" s="170"/>
      <c r="EL86" s="170"/>
      <c r="EM86" s="170"/>
      <c r="EN86" s="170"/>
      <c r="EO86" s="170"/>
      <c r="EP86" s="170"/>
      <c r="EQ86" s="170"/>
      <c r="ER86" s="170"/>
      <c r="ES86" s="170"/>
      <c r="ET86" s="170"/>
      <c r="EU86" s="170"/>
      <c r="EV86" s="170"/>
      <c r="EW86" s="170"/>
      <c r="EX86" s="170"/>
      <c r="EY86" s="170"/>
      <c r="EZ86" s="170"/>
      <c r="FA86" s="170"/>
      <c r="FB86" s="170"/>
      <c r="FC86" s="170"/>
      <c r="FD86" s="170"/>
      <c r="FE86" s="170"/>
      <c r="FF86" s="170"/>
      <c r="FG86" s="170"/>
      <c r="FH86" s="170"/>
      <c r="FI86" s="170"/>
      <c r="FJ86" s="170"/>
      <c r="FK86" s="170"/>
      <c r="FL86" s="170"/>
      <c r="FM86" s="170"/>
      <c r="FN86" s="170"/>
      <c r="FO86" s="170"/>
      <c r="FP86" s="170"/>
      <c r="FQ86" s="170"/>
      <c r="FR86" s="170"/>
      <c r="FS86" s="170"/>
      <c r="FT86" s="170"/>
      <c r="FU86" s="170"/>
      <c r="FV86" s="170"/>
      <c r="FW86" s="170"/>
      <c r="FX86" s="170"/>
      <c r="FY86" s="170"/>
      <c r="FZ86" s="170"/>
      <c r="GA86" s="170"/>
      <c r="GB86" s="170"/>
      <c r="GC86" s="170"/>
      <c r="GD86" s="170"/>
      <c r="GE86" s="170"/>
      <c r="GF86" s="170"/>
      <c r="GG86" s="170"/>
      <c r="GH86" s="170"/>
      <c r="GI86" s="170"/>
      <c r="GJ86" s="170"/>
      <c r="GK86" s="170"/>
      <c r="GL86" s="170"/>
      <c r="GM86" s="170"/>
      <c r="GN86" s="170"/>
      <c r="GO86" s="170"/>
      <c r="GP86" s="170"/>
      <c r="GQ86" s="170"/>
      <c r="GR86" s="170"/>
      <c r="GS86" s="170"/>
      <c r="GT86" s="170"/>
      <c r="GU86" s="170"/>
      <c r="GV86" s="170"/>
      <c r="GW86" s="170"/>
      <c r="GX86" s="170"/>
      <c r="GY86" s="170"/>
      <c r="GZ86" s="170"/>
      <c r="HA86" s="170"/>
      <c r="HB86" s="170"/>
      <c r="HC86" s="170"/>
      <c r="HD86" s="170"/>
      <c r="HE86" s="170"/>
      <c r="HF86" s="170"/>
      <c r="HG86" s="170"/>
      <c r="HH86" s="170"/>
      <c r="HI86" s="170"/>
      <c r="HJ86" s="170"/>
      <c r="HK86" s="170"/>
      <c r="HL86" s="170"/>
      <c r="HM86" s="170"/>
      <c r="HN86" s="170"/>
      <c r="HO86" s="170"/>
      <c r="HP86" s="170"/>
      <c r="HQ86" s="170"/>
      <c r="HR86" s="170"/>
      <c r="HS86" s="170"/>
      <c r="HT86" s="170"/>
      <c r="HU86" s="170"/>
      <c r="HV86" s="170"/>
      <c r="HW86" s="170"/>
      <c r="HX86" s="170"/>
      <c r="HY86" s="170"/>
      <c r="HZ86" s="170"/>
      <c r="IA86" s="170"/>
      <c r="IB86" s="170"/>
      <c r="IC86" s="170"/>
      <c r="ID86" s="170"/>
      <c r="IE86" s="170"/>
      <c r="IF86" s="170"/>
      <c r="IG86" s="170"/>
      <c r="IH86" s="170"/>
      <c r="II86" s="170"/>
      <c r="IJ86" s="170"/>
      <c r="IK86" s="170"/>
      <c r="IL86" s="170"/>
      <c r="IM86" s="170"/>
      <c r="IN86" s="170"/>
    </row>
    <row r="87" spans="1:248" s="169" customFormat="1" hidden="1">
      <c r="A87" s="108"/>
      <c r="B87" s="46" t="s">
        <v>112</v>
      </c>
      <c r="C87" s="51">
        <v>1.76</v>
      </c>
      <c r="D87" s="51">
        <v>2.4900000000000002</v>
      </c>
      <c r="E87" s="51">
        <v>3.46</v>
      </c>
      <c r="F87" s="51">
        <v>4.2</v>
      </c>
      <c r="G87" s="51">
        <v>5.1100000000000003</v>
      </c>
      <c r="H87" s="51">
        <v>5.98</v>
      </c>
      <c r="I87" s="51">
        <v>6.19</v>
      </c>
      <c r="J87" s="51">
        <v>5.53</v>
      </c>
      <c r="K87" s="51">
        <v>4.22</v>
      </c>
      <c r="L87" s="51">
        <v>2.8</v>
      </c>
      <c r="M87" s="51">
        <v>1.77</v>
      </c>
      <c r="N87" s="51">
        <v>1.42</v>
      </c>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0"/>
      <c r="BN87" s="170"/>
      <c r="BO87" s="170"/>
      <c r="BP87" s="170"/>
      <c r="BQ87" s="170"/>
      <c r="BR87" s="170"/>
      <c r="BS87" s="170"/>
      <c r="BT87" s="170"/>
      <c r="BU87" s="170"/>
      <c r="BV87" s="170"/>
      <c r="BW87" s="170"/>
      <c r="BX87" s="170"/>
      <c r="BY87" s="170"/>
      <c r="BZ87" s="170"/>
      <c r="CA87" s="170"/>
      <c r="CB87" s="170"/>
      <c r="CC87" s="170"/>
      <c r="CD87" s="170"/>
      <c r="CE87" s="170"/>
      <c r="CF87" s="170"/>
      <c r="CG87" s="170"/>
      <c r="CH87" s="170"/>
      <c r="CI87" s="170"/>
      <c r="CJ87" s="170"/>
      <c r="CK87" s="170"/>
      <c r="CL87" s="170"/>
      <c r="CM87" s="170"/>
      <c r="CN87" s="170"/>
      <c r="CO87" s="170"/>
      <c r="CP87" s="170"/>
      <c r="CQ87" s="170"/>
      <c r="CR87" s="170"/>
      <c r="CS87" s="170"/>
      <c r="CT87" s="170"/>
      <c r="CU87" s="170"/>
      <c r="CV87" s="170"/>
      <c r="CW87" s="170"/>
      <c r="CX87" s="170"/>
      <c r="CY87" s="170"/>
      <c r="CZ87" s="170"/>
      <c r="DA87" s="170"/>
      <c r="DB87" s="170"/>
      <c r="DC87" s="170"/>
      <c r="DD87" s="170"/>
      <c r="DE87" s="170"/>
      <c r="DF87" s="170"/>
      <c r="DG87" s="170"/>
      <c r="DH87" s="170"/>
      <c r="DI87" s="170"/>
      <c r="DJ87" s="170"/>
      <c r="DK87" s="170"/>
      <c r="DL87" s="170"/>
      <c r="DM87" s="170"/>
      <c r="DN87" s="170"/>
      <c r="DO87" s="170"/>
      <c r="DP87" s="170"/>
      <c r="DQ87" s="170"/>
      <c r="DR87" s="170"/>
      <c r="DS87" s="170"/>
      <c r="DT87" s="170"/>
      <c r="DU87" s="170"/>
      <c r="DV87" s="170"/>
      <c r="DW87" s="170"/>
      <c r="DX87" s="170"/>
      <c r="DY87" s="170"/>
      <c r="DZ87" s="170"/>
      <c r="EA87" s="170"/>
      <c r="EB87" s="170"/>
      <c r="EC87" s="170"/>
      <c r="ED87" s="170"/>
      <c r="EE87" s="170"/>
      <c r="EF87" s="170"/>
      <c r="EG87" s="170"/>
      <c r="EH87" s="170"/>
      <c r="EI87" s="170"/>
      <c r="EJ87" s="170"/>
      <c r="EK87" s="170"/>
      <c r="EL87" s="170"/>
      <c r="EM87" s="170"/>
      <c r="EN87" s="170"/>
      <c r="EO87" s="170"/>
      <c r="EP87" s="170"/>
      <c r="EQ87" s="170"/>
      <c r="ER87" s="170"/>
      <c r="ES87" s="170"/>
      <c r="ET87" s="170"/>
      <c r="EU87" s="170"/>
      <c r="EV87" s="170"/>
      <c r="EW87" s="170"/>
      <c r="EX87" s="170"/>
      <c r="EY87" s="170"/>
      <c r="EZ87" s="170"/>
      <c r="FA87" s="170"/>
      <c r="FB87" s="170"/>
      <c r="FC87" s="170"/>
      <c r="FD87" s="170"/>
      <c r="FE87" s="170"/>
      <c r="FF87" s="170"/>
      <c r="FG87" s="170"/>
      <c r="FH87" s="170"/>
      <c r="FI87" s="170"/>
      <c r="FJ87" s="170"/>
      <c r="FK87" s="170"/>
      <c r="FL87" s="170"/>
      <c r="FM87" s="170"/>
      <c r="FN87" s="170"/>
      <c r="FO87" s="170"/>
      <c r="FP87" s="170"/>
      <c r="FQ87" s="170"/>
      <c r="FR87" s="170"/>
      <c r="FS87" s="170"/>
      <c r="FT87" s="170"/>
      <c r="FU87" s="170"/>
      <c r="FV87" s="170"/>
      <c r="FW87" s="170"/>
      <c r="FX87" s="170"/>
      <c r="FY87" s="170"/>
      <c r="FZ87" s="170"/>
      <c r="GA87" s="170"/>
      <c r="GB87" s="170"/>
      <c r="GC87" s="170"/>
      <c r="GD87" s="170"/>
      <c r="GE87" s="170"/>
      <c r="GF87" s="170"/>
      <c r="GG87" s="170"/>
      <c r="GH87" s="170"/>
      <c r="GI87" s="170"/>
      <c r="GJ87" s="170"/>
      <c r="GK87" s="170"/>
      <c r="GL87" s="170"/>
      <c r="GM87" s="170"/>
      <c r="GN87" s="170"/>
      <c r="GO87" s="170"/>
      <c r="GP87" s="170"/>
      <c r="GQ87" s="170"/>
      <c r="GR87" s="170"/>
      <c r="GS87" s="170"/>
      <c r="GT87" s="170"/>
      <c r="GU87" s="170"/>
      <c r="GV87" s="170"/>
      <c r="GW87" s="170"/>
      <c r="GX87" s="170"/>
      <c r="GY87" s="170"/>
      <c r="GZ87" s="170"/>
      <c r="HA87" s="170"/>
      <c r="HB87" s="170"/>
      <c r="HC87" s="170"/>
      <c r="HD87" s="170"/>
      <c r="HE87" s="170"/>
      <c r="HF87" s="170"/>
      <c r="HG87" s="170"/>
      <c r="HH87" s="170"/>
      <c r="HI87" s="170"/>
      <c r="HJ87" s="170"/>
      <c r="HK87" s="170"/>
      <c r="HL87" s="170"/>
      <c r="HM87" s="170"/>
      <c r="HN87" s="170"/>
      <c r="HO87" s="170"/>
      <c r="HP87" s="170"/>
      <c r="HQ87" s="170"/>
      <c r="HR87" s="170"/>
      <c r="HS87" s="170"/>
      <c r="HT87" s="170"/>
      <c r="HU87" s="170"/>
      <c r="HV87" s="170"/>
      <c r="HW87" s="170"/>
      <c r="HX87" s="170"/>
      <c r="HY87" s="170"/>
      <c r="HZ87" s="170"/>
      <c r="IA87" s="170"/>
      <c r="IB87" s="170"/>
      <c r="IC87" s="170"/>
      <c r="ID87" s="170"/>
      <c r="IE87" s="170"/>
      <c r="IF87" s="170"/>
      <c r="IG87" s="170"/>
      <c r="IH87" s="170"/>
      <c r="II87" s="170"/>
      <c r="IJ87" s="170"/>
      <c r="IK87" s="170"/>
      <c r="IL87" s="170"/>
      <c r="IM87" s="170"/>
      <c r="IN87" s="170"/>
    </row>
    <row r="88" spans="1:248" s="169" customFormat="1" hidden="1">
      <c r="A88" s="108"/>
      <c r="B88" s="46" t="s">
        <v>159</v>
      </c>
      <c r="C88" s="51">
        <v>1.32</v>
      </c>
      <c r="D88" s="51">
        <v>2.36</v>
      </c>
      <c r="E88" s="51">
        <v>3.42</v>
      </c>
      <c r="F88" s="51">
        <v>3.83</v>
      </c>
      <c r="G88" s="51">
        <v>3.5</v>
      </c>
      <c r="H88" s="51">
        <v>3.37</v>
      </c>
      <c r="I88" s="51">
        <v>3.41</v>
      </c>
      <c r="J88" s="51">
        <v>3.59</v>
      </c>
      <c r="K88" s="51">
        <v>3.26</v>
      </c>
      <c r="L88" s="51">
        <v>2.56</v>
      </c>
      <c r="M88" s="51">
        <v>1.64</v>
      </c>
      <c r="N88" s="51">
        <v>1.1100000000000001</v>
      </c>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170"/>
      <c r="BX88" s="170"/>
      <c r="BY88" s="170"/>
      <c r="BZ88" s="170"/>
      <c r="CA88" s="170"/>
      <c r="CB88" s="170"/>
      <c r="CC88" s="170"/>
      <c r="CD88" s="170"/>
      <c r="CE88" s="170"/>
      <c r="CF88" s="170"/>
      <c r="CG88" s="170"/>
      <c r="CH88" s="170"/>
      <c r="CI88" s="170"/>
      <c r="CJ88" s="170"/>
      <c r="CK88" s="170"/>
      <c r="CL88" s="170"/>
      <c r="CM88" s="170"/>
      <c r="CN88" s="170"/>
      <c r="CO88" s="170"/>
      <c r="CP88" s="170"/>
      <c r="CQ88" s="170"/>
      <c r="CR88" s="170"/>
      <c r="CS88" s="170"/>
      <c r="CT88" s="170"/>
      <c r="CU88" s="170"/>
      <c r="CV88" s="170"/>
      <c r="CW88" s="170"/>
      <c r="CX88" s="170"/>
      <c r="CY88" s="170"/>
      <c r="CZ88" s="170"/>
      <c r="DA88" s="170"/>
      <c r="DB88" s="170"/>
      <c r="DC88" s="170"/>
      <c r="DD88" s="170"/>
      <c r="DE88" s="170"/>
      <c r="DF88" s="170"/>
      <c r="DG88" s="170"/>
      <c r="DH88" s="170"/>
      <c r="DI88" s="170"/>
      <c r="DJ88" s="170"/>
      <c r="DK88" s="170"/>
      <c r="DL88" s="170"/>
      <c r="DM88" s="170"/>
      <c r="DN88" s="170"/>
      <c r="DO88" s="170"/>
      <c r="DP88" s="170"/>
      <c r="DQ88" s="170"/>
      <c r="DR88" s="170"/>
      <c r="DS88" s="170"/>
      <c r="DT88" s="170"/>
      <c r="DU88" s="170"/>
      <c r="DV88" s="170"/>
      <c r="DW88" s="170"/>
      <c r="DX88" s="170"/>
      <c r="DY88" s="170"/>
      <c r="DZ88" s="170"/>
      <c r="EA88" s="170"/>
      <c r="EB88" s="170"/>
      <c r="EC88" s="170"/>
      <c r="ED88" s="170"/>
      <c r="EE88" s="170"/>
      <c r="EF88" s="170"/>
      <c r="EG88" s="170"/>
      <c r="EH88" s="170"/>
      <c r="EI88" s="170"/>
      <c r="EJ88" s="170"/>
      <c r="EK88" s="170"/>
      <c r="EL88" s="170"/>
      <c r="EM88" s="170"/>
      <c r="EN88" s="170"/>
      <c r="EO88" s="170"/>
      <c r="EP88" s="170"/>
      <c r="EQ88" s="170"/>
      <c r="ER88" s="170"/>
      <c r="ES88" s="170"/>
      <c r="ET88" s="170"/>
      <c r="EU88" s="170"/>
      <c r="EV88" s="170"/>
      <c r="EW88" s="170"/>
      <c r="EX88" s="170"/>
      <c r="EY88" s="170"/>
      <c r="EZ88" s="170"/>
      <c r="FA88" s="170"/>
      <c r="FB88" s="170"/>
      <c r="FC88" s="170"/>
      <c r="FD88" s="170"/>
      <c r="FE88" s="170"/>
      <c r="FF88" s="170"/>
      <c r="FG88" s="170"/>
      <c r="FH88" s="170"/>
      <c r="FI88" s="170"/>
      <c r="FJ88" s="170"/>
      <c r="FK88" s="170"/>
      <c r="FL88" s="170"/>
      <c r="FM88" s="170"/>
      <c r="FN88" s="170"/>
      <c r="FO88" s="170"/>
      <c r="FP88" s="170"/>
      <c r="FQ88" s="170"/>
      <c r="FR88" s="170"/>
      <c r="FS88" s="170"/>
      <c r="FT88" s="170"/>
      <c r="FU88" s="170"/>
      <c r="FV88" s="170"/>
      <c r="FW88" s="170"/>
      <c r="FX88" s="170"/>
      <c r="FY88" s="170"/>
      <c r="FZ88" s="170"/>
      <c r="GA88" s="170"/>
      <c r="GB88" s="170"/>
      <c r="GC88" s="170"/>
      <c r="GD88" s="170"/>
      <c r="GE88" s="170"/>
      <c r="GF88" s="170"/>
      <c r="GG88" s="170"/>
      <c r="GH88" s="170"/>
      <c r="GI88" s="170"/>
      <c r="GJ88" s="170"/>
      <c r="GK88" s="170"/>
      <c r="GL88" s="170"/>
      <c r="GM88" s="170"/>
      <c r="GN88" s="170"/>
      <c r="GO88" s="170"/>
      <c r="GP88" s="170"/>
      <c r="GQ88" s="170"/>
      <c r="GR88" s="170"/>
      <c r="GS88" s="170"/>
      <c r="GT88" s="170"/>
      <c r="GU88" s="170"/>
      <c r="GV88" s="170"/>
      <c r="GW88" s="170"/>
      <c r="GX88" s="170"/>
      <c r="GY88" s="170"/>
      <c r="GZ88" s="170"/>
      <c r="HA88" s="170"/>
      <c r="HB88" s="170"/>
      <c r="HC88" s="170"/>
      <c r="HD88" s="170"/>
      <c r="HE88" s="170"/>
      <c r="HF88" s="170"/>
      <c r="HG88" s="170"/>
      <c r="HH88" s="170"/>
      <c r="HI88" s="170"/>
      <c r="HJ88" s="170"/>
      <c r="HK88" s="170"/>
      <c r="HL88" s="170"/>
      <c r="HM88" s="170"/>
      <c r="HN88" s="170"/>
      <c r="HO88" s="170"/>
      <c r="HP88" s="170"/>
      <c r="HQ88" s="170"/>
      <c r="HR88" s="170"/>
      <c r="HS88" s="170"/>
      <c r="HT88" s="170"/>
      <c r="HU88" s="170"/>
      <c r="HV88" s="170"/>
      <c r="HW88" s="170"/>
      <c r="HX88" s="170"/>
      <c r="HY88" s="170"/>
      <c r="HZ88" s="170"/>
      <c r="IA88" s="170"/>
      <c r="IB88" s="170"/>
      <c r="IC88" s="170"/>
      <c r="ID88" s="170"/>
      <c r="IE88" s="170"/>
      <c r="IF88" s="170"/>
      <c r="IG88" s="170"/>
      <c r="IH88" s="170"/>
      <c r="II88" s="170"/>
      <c r="IJ88" s="170"/>
      <c r="IK88" s="170"/>
      <c r="IL88" s="170"/>
      <c r="IM88" s="170"/>
      <c r="IN88" s="170"/>
    </row>
    <row r="89" spans="1:248" s="169" customFormat="1" hidden="1">
      <c r="A89" s="108"/>
      <c r="B89" s="46" t="s">
        <v>160</v>
      </c>
      <c r="C89" s="51">
        <v>1.63</v>
      </c>
      <c r="D89" s="51">
        <v>2.62</v>
      </c>
      <c r="E89" s="51">
        <v>3.53</v>
      </c>
      <c r="F89" s="51">
        <v>3.59</v>
      </c>
      <c r="G89" s="51">
        <v>3.27</v>
      </c>
      <c r="H89" s="51">
        <v>3.1</v>
      </c>
      <c r="I89" s="51">
        <v>3.19</v>
      </c>
      <c r="J89" s="51">
        <v>3.34</v>
      </c>
      <c r="K89" s="51">
        <v>3.02</v>
      </c>
      <c r="L89" s="51">
        <v>2.5099999999999998</v>
      </c>
      <c r="M89" s="51">
        <v>1.84</v>
      </c>
      <c r="N89" s="51">
        <v>1.07</v>
      </c>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0"/>
      <c r="BR89" s="170"/>
      <c r="BS89" s="170"/>
      <c r="BT89" s="170"/>
      <c r="BU89" s="170"/>
      <c r="BV89" s="170"/>
      <c r="BW89" s="170"/>
      <c r="BX89" s="170"/>
      <c r="BY89" s="170"/>
      <c r="BZ89" s="170"/>
      <c r="CA89" s="170"/>
      <c r="CB89" s="170"/>
      <c r="CC89" s="170"/>
      <c r="CD89" s="170"/>
      <c r="CE89" s="170"/>
      <c r="CF89" s="170"/>
      <c r="CG89" s="170"/>
      <c r="CH89" s="170"/>
      <c r="CI89" s="170"/>
      <c r="CJ89" s="170"/>
      <c r="CK89" s="170"/>
      <c r="CL89" s="170"/>
      <c r="CM89" s="170"/>
      <c r="CN89" s="170"/>
      <c r="CO89" s="170"/>
      <c r="CP89" s="170"/>
      <c r="CQ89" s="170"/>
      <c r="CR89" s="170"/>
      <c r="CS89" s="170"/>
      <c r="CT89" s="170"/>
      <c r="CU89" s="170"/>
      <c r="CV89" s="170"/>
      <c r="CW89" s="170"/>
      <c r="CX89" s="170"/>
      <c r="CY89" s="170"/>
      <c r="CZ89" s="170"/>
      <c r="DA89" s="170"/>
      <c r="DB89" s="170"/>
      <c r="DC89" s="170"/>
      <c r="DD89" s="170"/>
      <c r="DE89" s="170"/>
      <c r="DF89" s="170"/>
      <c r="DG89" s="170"/>
      <c r="DH89" s="170"/>
      <c r="DI89" s="170"/>
      <c r="DJ89" s="170"/>
      <c r="DK89" s="170"/>
      <c r="DL89" s="170"/>
      <c r="DM89" s="170"/>
      <c r="DN89" s="170"/>
      <c r="DO89" s="170"/>
      <c r="DP89" s="170"/>
      <c r="DQ89" s="170"/>
      <c r="DR89" s="170"/>
      <c r="DS89" s="170"/>
      <c r="DT89" s="170"/>
      <c r="DU89" s="170"/>
      <c r="DV89" s="170"/>
      <c r="DW89" s="170"/>
      <c r="DX89" s="170"/>
      <c r="DY89" s="170"/>
      <c r="DZ89" s="170"/>
      <c r="EA89" s="170"/>
      <c r="EB89" s="170"/>
      <c r="EC89" s="170"/>
      <c r="ED89" s="170"/>
      <c r="EE89" s="170"/>
      <c r="EF89" s="170"/>
      <c r="EG89" s="170"/>
      <c r="EH89" s="170"/>
      <c r="EI89" s="170"/>
      <c r="EJ89" s="170"/>
      <c r="EK89" s="170"/>
      <c r="EL89" s="170"/>
      <c r="EM89" s="170"/>
      <c r="EN89" s="170"/>
      <c r="EO89" s="170"/>
      <c r="EP89" s="170"/>
      <c r="EQ89" s="170"/>
      <c r="ER89" s="170"/>
      <c r="ES89" s="170"/>
      <c r="ET89" s="170"/>
      <c r="EU89" s="170"/>
      <c r="EV89" s="170"/>
      <c r="EW89" s="170"/>
      <c r="EX89" s="170"/>
      <c r="EY89" s="170"/>
      <c r="EZ89" s="170"/>
      <c r="FA89" s="170"/>
      <c r="FB89" s="170"/>
      <c r="FC89" s="170"/>
      <c r="FD89" s="170"/>
      <c r="FE89" s="170"/>
      <c r="FF89" s="170"/>
      <c r="FG89" s="170"/>
      <c r="FH89" s="170"/>
      <c r="FI89" s="170"/>
      <c r="FJ89" s="170"/>
      <c r="FK89" s="170"/>
      <c r="FL89" s="170"/>
      <c r="FM89" s="170"/>
      <c r="FN89" s="170"/>
      <c r="FO89" s="170"/>
      <c r="FP89" s="170"/>
      <c r="FQ89" s="170"/>
      <c r="FR89" s="170"/>
      <c r="FS89" s="170"/>
      <c r="FT89" s="170"/>
      <c r="FU89" s="170"/>
      <c r="FV89" s="170"/>
      <c r="FW89" s="170"/>
      <c r="FX89" s="170"/>
      <c r="FY89" s="170"/>
      <c r="FZ89" s="170"/>
      <c r="GA89" s="170"/>
      <c r="GB89" s="170"/>
      <c r="GC89" s="170"/>
      <c r="GD89" s="170"/>
      <c r="GE89" s="170"/>
      <c r="GF89" s="170"/>
      <c r="GG89" s="170"/>
      <c r="GH89" s="170"/>
      <c r="GI89" s="170"/>
      <c r="GJ89" s="170"/>
      <c r="GK89" s="170"/>
      <c r="GL89" s="170"/>
      <c r="GM89" s="170"/>
      <c r="GN89" s="170"/>
      <c r="GO89" s="170"/>
      <c r="GP89" s="170"/>
      <c r="GQ89" s="170"/>
      <c r="GR89" s="170"/>
      <c r="GS89" s="170"/>
      <c r="GT89" s="170"/>
      <c r="GU89" s="170"/>
      <c r="GV89" s="170"/>
      <c r="GW89" s="170"/>
      <c r="GX89" s="170"/>
      <c r="GY89" s="170"/>
      <c r="GZ89" s="170"/>
      <c r="HA89" s="170"/>
      <c r="HB89" s="170"/>
      <c r="HC89" s="170"/>
      <c r="HD89" s="170"/>
      <c r="HE89" s="170"/>
      <c r="HF89" s="170"/>
      <c r="HG89" s="170"/>
      <c r="HH89" s="170"/>
      <c r="HI89" s="170"/>
      <c r="HJ89" s="170"/>
      <c r="HK89" s="170"/>
      <c r="HL89" s="170"/>
      <c r="HM89" s="170"/>
      <c r="HN89" s="170"/>
      <c r="HO89" s="170"/>
      <c r="HP89" s="170"/>
      <c r="HQ89" s="170"/>
      <c r="HR89" s="170"/>
      <c r="HS89" s="170"/>
      <c r="HT89" s="170"/>
      <c r="HU89" s="170"/>
      <c r="HV89" s="170"/>
      <c r="HW89" s="170"/>
      <c r="HX89" s="170"/>
      <c r="HY89" s="170"/>
      <c r="HZ89" s="170"/>
      <c r="IA89" s="170"/>
      <c r="IB89" s="170"/>
      <c r="IC89" s="170"/>
      <c r="ID89" s="170"/>
      <c r="IE89" s="170"/>
      <c r="IF89" s="170"/>
      <c r="IG89" s="170"/>
      <c r="IH89" s="170"/>
      <c r="II89" s="170"/>
      <c r="IJ89" s="170"/>
      <c r="IK89" s="170"/>
      <c r="IL89" s="170"/>
      <c r="IM89" s="170"/>
      <c r="IN89" s="170"/>
    </row>
    <row r="90" spans="1:248" s="169" customFormat="1" hidden="1">
      <c r="A90" s="108"/>
      <c r="B90" s="46" t="s">
        <v>161</v>
      </c>
      <c r="C90" s="51">
        <v>1.88</v>
      </c>
      <c r="D90" s="51">
        <v>2.71</v>
      </c>
      <c r="E90" s="51">
        <v>3.28</v>
      </c>
      <c r="F90" s="51">
        <v>3.64</v>
      </c>
      <c r="G90" s="51">
        <v>3.28</v>
      </c>
      <c r="H90" s="51">
        <v>3.16</v>
      </c>
      <c r="I90" s="51">
        <v>3.43</v>
      </c>
      <c r="J90" s="51">
        <v>3.54</v>
      </c>
      <c r="K90" s="51">
        <v>3.47</v>
      </c>
      <c r="L90" s="51">
        <v>3.04</v>
      </c>
      <c r="M90" s="51">
        <v>2.2200000000000002</v>
      </c>
      <c r="N90" s="51">
        <v>1.77</v>
      </c>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0"/>
      <c r="BR90" s="170"/>
      <c r="BS90" s="170"/>
      <c r="BT90" s="170"/>
      <c r="BU90" s="170"/>
      <c r="BV90" s="170"/>
      <c r="BW90" s="170"/>
      <c r="BX90" s="170"/>
      <c r="BY90" s="170"/>
      <c r="BZ90" s="170"/>
      <c r="CA90" s="170"/>
      <c r="CB90" s="170"/>
      <c r="CC90" s="170"/>
      <c r="CD90" s="170"/>
      <c r="CE90" s="170"/>
      <c r="CF90" s="170"/>
      <c r="CG90" s="170"/>
      <c r="CH90" s="170"/>
      <c r="CI90" s="170"/>
      <c r="CJ90" s="170"/>
      <c r="CK90" s="170"/>
      <c r="CL90" s="170"/>
      <c r="CM90" s="170"/>
      <c r="CN90" s="170"/>
      <c r="CO90" s="170"/>
      <c r="CP90" s="170"/>
      <c r="CQ90" s="170"/>
      <c r="CR90" s="170"/>
      <c r="CS90" s="170"/>
      <c r="CT90" s="170"/>
      <c r="CU90" s="170"/>
      <c r="CV90" s="170"/>
      <c r="CW90" s="170"/>
      <c r="CX90" s="170"/>
      <c r="CY90" s="170"/>
      <c r="CZ90" s="170"/>
      <c r="DA90" s="170"/>
      <c r="DB90" s="170"/>
      <c r="DC90" s="170"/>
      <c r="DD90" s="170"/>
      <c r="DE90" s="170"/>
      <c r="DF90" s="170"/>
      <c r="DG90" s="170"/>
      <c r="DH90" s="170"/>
      <c r="DI90" s="170"/>
      <c r="DJ90" s="170"/>
      <c r="DK90" s="170"/>
      <c r="DL90" s="170"/>
      <c r="DM90" s="170"/>
      <c r="DN90" s="170"/>
      <c r="DO90" s="170"/>
      <c r="DP90" s="170"/>
      <c r="DQ90" s="170"/>
      <c r="DR90" s="170"/>
      <c r="DS90" s="170"/>
      <c r="DT90" s="170"/>
      <c r="DU90" s="170"/>
      <c r="DV90" s="170"/>
      <c r="DW90" s="170"/>
      <c r="DX90" s="170"/>
      <c r="DY90" s="170"/>
      <c r="DZ90" s="170"/>
      <c r="EA90" s="170"/>
      <c r="EB90" s="170"/>
      <c r="EC90" s="170"/>
      <c r="ED90" s="170"/>
      <c r="EE90" s="170"/>
      <c r="EF90" s="170"/>
      <c r="EG90" s="170"/>
      <c r="EH90" s="170"/>
      <c r="EI90" s="170"/>
      <c r="EJ90" s="170"/>
      <c r="EK90" s="170"/>
      <c r="EL90" s="170"/>
      <c r="EM90" s="170"/>
      <c r="EN90" s="170"/>
      <c r="EO90" s="170"/>
      <c r="EP90" s="170"/>
      <c r="EQ90" s="170"/>
      <c r="ER90" s="170"/>
      <c r="ES90" s="170"/>
      <c r="ET90" s="170"/>
      <c r="EU90" s="170"/>
      <c r="EV90" s="170"/>
      <c r="EW90" s="170"/>
      <c r="EX90" s="170"/>
      <c r="EY90" s="170"/>
      <c r="EZ90" s="170"/>
      <c r="FA90" s="170"/>
      <c r="FB90" s="170"/>
      <c r="FC90" s="170"/>
      <c r="FD90" s="170"/>
      <c r="FE90" s="170"/>
      <c r="FF90" s="170"/>
      <c r="FG90" s="170"/>
      <c r="FH90" s="170"/>
      <c r="FI90" s="170"/>
      <c r="FJ90" s="170"/>
      <c r="FK90" s="170"/>
      <c r="FL90" s="170"/>
      <c r="FM90" s="170"/>
      <c r="FN90" s="170"/>
      <c r="FO90" s="170"/>
      <c r="FP90" s="170"/>
      <c r="FQ90" s="170"/>
      <c r="FR90" s="170"/>
      <c r="FS90" s="170"/>
      <c r="FT90" s="170"/>
      <c r="FU90" s="170"/>
      <c r="FV90" s="170"/>
      <c r="FW90" s="170"/>
      <c r="FX90" s="170"/>
      <c r="FY90" s="170"/>
      <c r="FZ90" s="170"/>
      <c r="GA90" s="170"/>
      <c r="GB90" s="170"/>
      <c r="GC90" s="170"/>
      <c r="GD90" s="170"/>
      <c r="GE90" s="170"/>
      <c r="GF90" s="170"/>
      <c r="GG90" s="170"/>
      <c r="GH90" s="170"/>
      <c r="GI90" s="170"/>
      <c r="GJ90" s="170"/>
      <c r="GK90" s="170"/>
      <c r="GL90" s="170"/>
      <c r="GM90" s="170"/>
      <c r="GN90" s="170"/>
      <c r="GO90" s="170"/>
      <c r="GP90" s="170"/>
      <c r="GQ90" s="170"/>
      <c r="GR90" s="170"/>
      <c r="GS90" s="170"/>
      <c r="GT90" s="170"/>
      <c r="GU90" s="170"/>
      <c r="GV90" s="170"/>
      <c r="GW90" s="170"/>
      <c r="GX90" s="170"/>
      <c r="GY90" s="170"/>
      <c r="GZ90" s="170"/>
      <c r="HA90" s="170"/>
      <c r="HB90" s="170"/>
      <c r="HC90" s="170"/>
      <c r="HD90" s="170"/>
      <c r="HE90" s="170"/>
      <c r="HF90" s="170"/>
      <c r="HG90" s="170"/>
      <c r="HH90" s="170"/>
      <c r="HI90" s="170"/>
      <c r="HJ90" s="170"/>
      <c r="HK90" s="170"/>
      <c r="HL90" s="170"/>
      <c r="HM90" s="170"/>
      <c r="HN90" s="170"/>
      <c r="HO90" s="170"/>
      <c r="HP90" s="170"/>
      <c r="HQ90" s="170"/>
      <c r="HR90" s="170"/>
      <c r="HS90" s="170"/>
      <c r="HT90" s="170"/>
      <c r="HU90" s="170"/>
      <c r="HV90" s="170"/>
      <c r="HW90" s="170"/>
      <c r="HX90" s="170"/>
      <c r="HY90" s="170"/>
      <c r="HZ90" s="170"/>
      <c r="IA90" s="170"/>
      <c r="IB90" s="170"/>
      <c r="IC90" s="170"/>
      <c r="ID90" s="170"/>
      <c r="IE90" s="170"/>
      <c r="IF90" s="170"/>
      <c r="IG90" s="170"/>
      <c r="IH90" s="170"/>
      <c r="II90" s="170"/>
      <c r="IJ90" s="170"/>
      <c r="IK90" s="170"/>
      <c r="IL90" s="170"/>
      <c r="IM90" s="170"/>
      <c r="IN90" s="170"/>
    </row>
    <row r="91" spans="1:248" s="169" customFormat="1" hidden="1">
      <c r="A91" s="108"/>
      <c r="B91" s="46" t="s">
        <v>162</v>
      </c>
      <c r="C91" s="51">
        <v>1.65</v>
      </c>
      <c r="D91" s="51">
        <v>2.64</v>
      </c>
      <c r="E91" s="51">
        <v>3.54</v>
      </c>
      <c r="F91" s="51">
        <v>3.61</v>
      </c>
      <c r="G91" s="51">
        <v>3.28</v>
      </c>
      <c r="H91" s="51">
        <v>3.11</v>
      </c>
      <c r="I91" s="51">
        <v>3.2</v>
      </c>
      <c r="J91" s="51">
        <v>3.35</v>
      </c>
      <c r="K91" s="51">
        <v>3.04</v>
      </c>
      <c r="L91" s="51">
        <v>2.5299999999999998</v>
      </c>
      <c r="M91" s="51">
        <v>1.86</v>
      </c>
      <c r="N91" s="51">
        <v>1.0900000000000001</v>
      </c>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c r="BJ91" s="170"/>
      <c r="BK91" s="170"/>
      <c r="BL91" s="170"/>
      <c r="BM91" s="170"/>
      <c r="BN91" s="170"/>
      <c r="BO91" s="170"/>
      <c r="BP91" s="170"/>
      <c r="BQ91" s="170"/>
      <c r="BR91" s="170"/>
      <c r="BS91" s="170"/>
      <c r="BT91" s="170"/>
      <c r="BU91" s="170"/>
      <c r="BV91" s="170"/>
      <c r="BW91" s="170"/>
      <c r="BX91" s="170"/>
      <c r="BY91" s="170"/>
      <c r="BZ91" s="170"/>
      <c r="CA91" s="170"/>
      <c r="CB91" s="170"/>
      <c r="CC91" s="170"/>
      <c r="CD91" s="170"/>
      <c r="CE91" s="170"/>
      <c r="CF91" s="170"/>
      <c r="CG91" s="170"/>
      <c r="CH91" s="170"/>
      <c r="CI91" s="170"/>
      <c r="CJ91" s="170"/>
      <c r="CK91" s="170"/>
      <c r="CL91" s="170"/>
      <c r="CM91" s="170"/>
      <c r="CN91" s="170"/>
      <c r="CO91" s="170"/>
      <c r="CP91" s="170"/>
      <c r="CQ91" s="170"/>
      <c r="CR91" s="170"/>
      <c r="CS91" s="170"/>
      <c r="CT91" s="170"/>
      <c r="CU91" s="170"/>
      <c r="CV91" s="170"/>
      <c r="CW91" s="170"/>
      <c r="CX91" s="170"/>
      <c r="CY91" s="170"/>
      <c r="CZ91" s="170"/>
      <c r="DA91" s="170"/>
      <c r="DB91" s="170"/>
      <c r="DC91" s="170"/>
      <c r="DD91" s="170"/>
      <c r="DE91" s="170"/>
      <c r="DF91" s="170"/>
      <c r="DG91" s="170"/>
      <c r="DH91" s="170"/>
      <c r="DI91" s="170"/>
      <c r="DJ91" s="170"/>
      <c r="DK91" s="170"/>
      <c r="DL91" s="170"/>
      <c r="DM91" s="170"/>
      <c r="DN91" s="170"/>
      <c r="DO91" s="170"/>
      <c r="DP91" s="170"/>
      <c r="DQ91" s="170"/>
      <c r="DR91" s="170"/>
      <c r="DS91" s="170"/>
      <c r="DT91" s="170"/>
      <c r="DU91" s="170"/>
      <c r="DV91" s="170"/>
      <c r="DW91" s="170"/>
      <c r="DX91" s="170"/>
      <c r="DY91" s="170"/>
      <c r="DZ91" s="170"/>
      <c r="EA91" s="170"/>
      <c r="EB91" s="170"/>
      <c r="EC91" s="170"/>
      <c r="ED91" s="170"/>
      <c r="EE91" s="170"/>
      <c r="EF91" s="170"/>
      <c r="EG91" s="170"/>
      <c r="EH91" s="170"/>
      <c r="EI91" s="170"/>
      <c r="EJ91" s="170"/>
      <c r="EK91" s="170"/>
      <c r="EL91" s="170"/>
      <c r="EM91" s="170"/>
      <c r="EN91" s="170"/>
      <c r="EO91" s="170"/>
      <c r="EP91" s="170"/>
      <c r="EQ91" s="170"/>
      <c r="ER91" s="170"/>
      <c r="ES91" s="170"/>
      <c r="ET91" s="170"/>
      <c r="EU91" s="170"/>
      <c r="EV91" s="170"/>
      <c r="EW91" s="170"/>
      <c r="EX91" s="170"/>
      <c r="EY91" s="170"/>
      <c r="EZ91" s="170"/>
      <c r="FA91" s="170"/>
      <c r="FB91" s="170"/>
      <c r="FC91" s="170"/>
      <c r="FD91" s="170"/>
      <c r="FE91" s="170"/>
      <c r="FF91" s="170"/>
      <c r="FG91" s="170"/>
      <c r="FH91" s="170"/>
      <c r="FI91" s="170"/>
      <c r="FJ91" s="170"/>
      <c r="FK91" s="170"/>
      <c r="FL91" s="170"/>
      <c r="FM91" s="170"/>
      <c r="FN91" s="170"/>
      <c r="FO91" s="170"/>
      <c r="FP91" s="170"/>
      <c r="FQ91" s="170"/>
      <c r="FR91" s="170"/>
      <c r="FS91" s="170"/>
      <c r="FT91" s="170"/>
      <c r="FU91" s="170"/>
      <c r="FV91" s="170"/>
      <c r="FW91" s="170"/>
      <c r="FX91" s="170"/>
      <c r="FY91" s="170"/>
      <c r="FZ91" s="170"/>
      <c r="GA91" s="170"/>
      <c r="GB91" s="170"/>
      <c r="GC91" s="170"/>
      <c r="GD91" s="170"/>
      <c r="GE91" s="170"/>
      <c r="GF91" s="170"/>
      <c r="GG91" s="170"/>
      <c r="GH91" s="170"/>
      <c r="GI91" s="170"/>
      <c r="GJ91" s="170"/>
      <c r="GK91" s="170"/>
      <c r="GL91" s="170"/>
      <c r="GM91" s="170"/>
      <c r="GN91" s="170"/>
      <c r="GO91" s="170"/>
      <c r="GP91" s="170"/>
      <c r="GQ91" s="170"/>
      <c r="GR91" s="170"/>
      <c r="GS91" s="170"/>
      <c r="GT91" s="170"/>
      <c r="GU91" s="170"/>
      <c r="GV91" s="170"/>
      <c r="GW91" s="170"/>
      <c r="GX91" s="170"/>
      <c r="GY91" s="170"/>
      <c r="GZ91" s="170"/>
      <c r="HA91" s="170"/>
      <c r="HB91" s="170"/>
      <c r="HC91" s="170"/>
      <c r="HD91" s="170"/>
      <c r="HE91" s="170"/>
      <c r="HF91" s="170"/>
      <c r="HG91" s="170"/>
      <c r="HH91" s="170"/>
      <c r="HI91" s="170"/>
      <c r="HJ91" s="170"/>
      <c r="HK91" s="170"/>
      <c r="HL91" s="170"/>
      <c r="HM91" s="170"/>
      <c r="HN91" s="170"/>
      <c r="HO91" s="170"/>
      <c r="HP91" s="170"/>
      <c r="HQ91" s="170"/>
      <c r="HR91" s="170"/>
      <c r="HS91" s="170"/>
      <c r="HT91" s="170"/>
      <c r="HU91" s="170"/>
      <c r="HV91" s="170"/>
      <c r="HW91" s="170"/>
      <c r="HX91" s="170"/>
      <c r="HY91" s="170"/>
      <c r="HZ91" s="170"/>
      <c r="IA91" s="170"/>
      <c r="IB91" s="170"/>
      <c r="IC91" s="170"/>
      <c r="ID91" s="170"/>
      <c r="IE91" s="170"/>
      <c r="IF91" s="170"/>
      <c r="IG91" s="170"/>
      <c r="IH91" s="170"/>
      <c r="II91" s="170"/>
      <c r="IJ91" s="170"/>
      <c r="IK91" s="170"/>
      <c r="IL91" s="170"/>
      <c r="IM91" s="170"/>
      <c r="IN91" s="170"/>
    </row>
    <row r="92" spans="1:248" s="169" customFormat="1" hidden="1">
      <c r="A92" s="108"/>
      <c r="B92" s="46" t="s">
        <v>169</v>
      </c>
      <c r="C92" s="51">
        <v>1.58</v>
      </c>
      <c r="D92" s="51">
        <v>2.6</v>
      </c>
      <c r="E92" s="51">
        <v>3.52</v>
      </c>
      <c r="F92" s="51">
        <v>3.63</v>
      </c>
      <c r="G92" s="51">
        <v>3.24</v>
      </c>
      <c r="H92" s="51">
        <v>3.11</v>
      </c>
      <c r="I92" s="51">
        <v>3.19</v>
      </c>
      <c r="J92" s="51">
        <v>3.36</v>
      </c>
      <c r="K92" s="51">
        <v>3.03</v>
      </c>
      <c r="L92" s="51">
        <v>2.5099999999999998</v>
      </c>
      <c r="M92" s="51">
        <v>1.81</v>
      </c>
      <c r="N92" s="51">
        <v>0.95</v>
      </c>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c r="BY92" s="170"/>
      <c r="BZ92" s="170"/>
      <c r="CA92" s="170"/>
      <c r="CB92" s="170"/>
      <c r="CC92" s="170"/>
      <c r="CD92" s="170"/>
      <c r="CE92" s="170"/>
      <c r="CF92" s="170"/>
      <c r="CG92" s="170"/>
      <c r="CH92" s="170"/>
      <c r="CI92" s="170"/>
      <c r="CJ92" s="170"/>
      <c r="CK92" s="170"/>
      <c r="CL92" s="170"/>
      <c r="CM92" s="170"/>
      <c r="CN92" s="170"/>
      <c r="CO92" s="170"/>
      <c r="CP92" s="170"/>
      <c r="CQ92" s="170"/>
      <c r="CR92" s="170"/>
      <c r="CS92" s="170"/>
      <c r="CT92" s="170"/>
      <c r="CU92" s="170"/>
      <c r="CV92" s="170"/>
      <c r="CW92" s="170"/>
      <c r="CX92" s="170"/>
      <c r="CY92" s="170"/>
      <c r="CZ92" s="170"/>
      <c r="DA92" s="170"/>
      <c r="DB92" s="170"/>
      <c r="DC92" s="170"/>
      <c r="DD92" s="170"/>
      <c r="DE92" s="170"/>
      <c r="DF92" s="170"/>
      <c r="DG92" s="170"/>
      <c r="DH92" s="170"/>
      <c r="DI92" s="170"/>
      <c r="DJ92" s="170"/>
      <c r="DK92" s="170"/>
      <c r="DL92" s="170"/>
      <c r="DM92" s="170"/>
      <c r="DN92" s="170"/>
      <c r="DO92" s="170"/>
      <c r="DP92" s="170"/>
      <c r="DQ92" s="170"/>
      <c r="DR92" s="170"/>
      <c r="DS92" s="170"/>
      <c r="DT92" s="170"/>
      <c r="DU92" s="170"/>
      <c r="DV92" s="170"/>
      <c r="DW92" s="170"/>
      <c r="DX92" s="170"/>
      <c r="DY92" s="170"/>
      <c r="DZ92" s="170"/>
      <c r="EA92" s="170"/>
      <c r="EB92" s="170"/>
      <c r="EC92" s="170"/>
      <c r="ED92" s="170"/>
      <c r="EE92" s="170"/>
      <c r="EF92" s="170"/>
      <c r="EG92" s="170"/>
      <c r="EH92" s="170"/>
      <c r="EI92" s="170"/>
      <c r="EJ92" s="170"/>
      <c r="EK92" s="170"/>
      <c r="EL92" s="170"/>
      <c r="EM92" s="170"/>
      <c r="EN92" s="170"/>
      <c r="EO92" s="170"/>
      <c r="EP92" s="170"/>
      <c r="EQ92" s="170"/>
      <c r="ER92" s="170"/>
      <c r="ES92" s="170"/>
      <c r="ET92" s="170"/>
      <c r="EU92" s="170"/>
      <c r="EV92" s="170"/>
      <c r="EW92" s="170"/>
      <c r="EX92" s="170"/>
      <c r="EY92" s="170"/>
      <c r="EZ92" s="170"/>
      <c r="FA92" s="170"/>
      <c r="FB92" s="170"/>
      <c r="FC92" s="170"/>
      <c r="FD92" s="170"/>
      <c r="FE92" s="170"/>
      <c r="FF92" s="170"/>
      <c r="FG92" s="170"/>
      <c r="FH92" s="170"/>
      <c r="FI92" s="170"/>
      <c r="FJ92" s="170"/>
      <c r="FK92" s="170"/>
      <c r="FL92" s="170"/>
      <c r="FM92" s="170"/>
      <c r="FN92" s="170"/>
      <c r="FO92" s="170"/>
      <c r="FP92" s="170"/>
      <c r="FQ92" s="170"/>
      <c r="FR92" s="170"/>
      <c r="FS92" s="170"/>
      <c r="FT92" s="170"/>
      <c r="FU92" s="170"/>
      <c r="FV92" s="170"/>
      <c r="FW92" s="170"/>
      <c r="FX92" s="170"/>
      <c r="FY92" s="170"/>
      <c r="FZ92" s="170"/>
      <c r="GA92" s="170"/>
      <c r="GB92" s="170"/>
      <c r="GC92" s="170"/>
      <c r="GD92" s="170"/>
      <c r="GE92" s="170"/>
      <c r="GF92" s="170"/>
      <c r="GG92" s="170"/>
      <c r="GH92" s="170"/>
      <c r="GI92" s="170"/>
      <c r="GJ92" s="170"/>
      <c r="GK92" s="170"/>
      <c r="GL92" s="170"/>
      <c r="GM92" s="170"/>
      <c r="GN92" s="170"/>
      <c r="GO92" s="170"/>
      <c r="GP92" s="170"/>
      <c r="GQ92" s="170"/>
      <c r="GR92" s="170"/>
      <c r="GS92" s="170"/>
      <c r="GT92" s="170"/>
      <c r="GU92" s="170"/>
      <c r="GV92" s="170"/>
      <c r="GW92" s="170"/>
      <c r="GX92" s="170"/>
      <c r="GY92" s="170"/>
      <c r="GZ92" s="170"/>
      <c r="HA92" s="170"/>
      <c r="HB92" s="170"/>
      <c r="HC92" s="170"/>
      <c r="HD92" s="170"/>
      <c r="HE92" s="170"/>
      <c r="HF92" s="170"/>
      <c r="HG92" s="170"/>
      <c r="HH92" s="170"/>
      <c r="HI92" s="170"/>
      <c r="HJ92" s="170"/>
      <c r="HK92" s="170"/>
      <c r="HL92" s="170"/>
      <c r="HM92" s="170"/>
      <c r="HN92" s="170"/>
      <c r="HO92" s="170"/>
      <c r="HP92" s="170"/>
      <c r="HQ92" s="170"/>
      <c r="HR92" s="170"/>
      <c r="HS92" s="170"/>
      <c r="HT92" s="170"/>
      <c r="HU92" s="170"/>
      <c r="HV92" s="170"/>
      <c r="HW92" s="170"/>
      <c r="HX92" s="170"/>
      <c r="HY92" s="170"/>
      <c r="HZ92" s="170"/>
      <c r="IA92" s="170"/>
      <c r="IB92" s="170"/>
      <c r="IC92" s="170"/>
      <c r="ID92" s="170"/>
      <c r="IE92" s="170"/>
      <c r="IF92" s="170"/>
      <c r="IG92" s="170"/>
      <c r="IH92" s="170"/>
      <c r="II92" s="170"/>
      <c r="IJ92" s="170"/>
      <c r="IK92" s="170"/>
      <c r="IL92" s="170"/>
      <c r="IM92" s="170"/>
      <c r="IN92" s="170"/>
    </row>
    <row r="93" spans="1:248" s="169" customFormat="1" hidden="1">
      <c r="A93" s="108"/>
      <c r="B93" s="46" t="s">
        <v>168</v>
      </c>
      <c r="C93" s="51">
        <v>1.53</v>
      </c>
      <c r="D93" s="51">
        <v>2.52</v>
      </c>
      <c r="E93" s="51">
        <v>3.58</v>
      </c>
      <c r="F93" s="51">
        <v>3.84</v>
      </c>
      <c r="G93" s="51">
        <v>3.49</v>
      </c>
      <c r="H93" s="51">
        <v>3.23</v>
      </c>
      <c r="I93" s="51">
        <v>3.3</v>
      </c>
      <c r="J93" s="51">
        <v>3.48</v>
      </c>
      <c r="K93" s="51">
        <v>3.11</v>
      </c>
      <c r="L93" s="51">
        <v>2.5</v>
      </c>
      <c r="M93" s="51">
        <v>1.8</v>
      </c>
      <c r="N93" s="51">
        <v>0.99</v>
      </c>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170"/>
      <c r="BJ93" s="170"/>
      <c r="BK93" s="170"/>
      <c r="BL93" s="170"/>
      <c r="BM93" s="170"/>
      <c r="BN93" s="170"/>
      <c r="BO93" s="170"/>
      <c r="BP93" s="170"/>
      <c r="BQ93" s="170"/>
      <c r="BR93" s="170"/>
      <c r="BS93" s="170"/>
      <c r="BT93" s="170"/>
      <c r="BU93" s="170"/>
      <c r="BV93" s="170"/>
      <c r="BW93" s="170"/>
      <c r="BX93" s="170"/>
      <c r="BY93" s="170"/>
      <c r="BZ93" s="170"/>
      <c r="CA93" s="170"/>
      <c r="CB93" s="170"/>
      <c r="CC93" s="170"/>
      <c r="CD93" s="170"/>
      <c r="CE93" s="170"/>
      <c r="CF93" s="170"/>
      <c r="CG93" s="170"/>
      <c r="CH93" s="170"/>
      <c r="CI93" s="170"/>
      <c r="CJ93" s="170"/>
      <c r="CK93" s="170"/>
      <c r="CL93" s="170"/>
      <c r="CM93" s="170"/>
      <c r="CN93" s="170"/>
      <c r="CO93" s="170"/>
      <c r="CP93" s="170"/>
      <c r="CQ93" s="170"/>
      <c r="CR93" s="170"/>
      <c r="CS93" s="170"/>
      <c r="CT93" s="170"/>
      <c r="CU93" s="170"/>
      <c r="CV93" s="170"/>
      <c r="CW93" s="170"/>
      <c r="CX93" s="170"/>
      <c r="CY93" s="170"/>
      <c r="CZ93" s="170"/>
      <c r="DA93" s="170"/>
      <c r="DB93" s="170"/>
      <c r="DC93" s="170"/>
      <c r="DD93" s="170"/>
      <c r="DE93" s="170"/>
      <c r="DF93" s="170"/>
      <c r="DG93" s="170"/>
      <c r="DH93" s="170"/>
      <c r="DI93" s="170"/>
      <c r="DJ93" s="170"/>
      <c r="DK93" s="170"/>
      <c r="DL93" s="170"/>
      <c r="DM93" s="170"/>
      <c r="DN93" s="170"/>
      <c r="DO93" s="170"/>
      <c r="DP93" s="170"/>
      <c r="DQ93" s="170"/>
      <c r="DR93" s="170"/>
      <c r="DS93" s="170"/>
      <c r="DT93" s="170"/>
      <c r="DU93" s="170"/>
      <c r="DV93" s="170"/>
      <c r="DW93" s="170"/>
      <c r="DX93" s="170"/>
      <c r="DY93" s="170"/>
      <c r="DZ93" s="170"/>
      <c r="EA93" s="170"/>
      <c r="EB93" s="170"/>
      <c r="EC93" s="170"/>
      <c r="ED93" s="170"/>
      <c r="EE93" s="170"/>
      <c r="EF93" s="170"/>
      <c r="EG93" s="170"/>
      <c r="EH93" s="170"/>
      <c r="EI93" s="170"/>
      <c r="EJ93" s="170"/>
      <c r="EK93" s="170"/>
      <c r="EL93" s="170"/>
      <c r="EM93" s="170"/>
      <c r="EN93" s="170"/>
      <c r="EO93" s="170"/>
      <c r="EP93" s="170"/>
      <c r="EQ93" s="170"/>
      <c r="ER93" s="170"/>
      <c r="ES93" s="170"/>
      <c r="ET93" s="170"/>
      <c r="EU93" s="170"/>
      <c r="EV93" s="170"/>
      <c r="EW93" s="170"/>
      <c r="EX93" s="170"/>
      <c r="EY93" s="170"/>
      <c r="EZ93" s="170"/>
      <c r="FA93" s="170"/>
      <c r="FB93" s="170"/>
      <c r="FC93" s="170"/>
      <c r="FD93" s="170"/>
      <c r="FE93" s="170"/>
      <c r="FF93" s="170"/>
      <c r="FG93" s="170"/>
      <c r="FH93" s="170"/>
      <c r="FI93" s="170"/>
      <c r="FJ93" s="170"/>
      <c r="FK93" s="170"/>
      <c r="FL93" s="170"/>
      <c r="FM93" s="170"/>
      <c r="FN93" s="170"/>
      <c r="FO93" s="170"/>
      <c r="FP93" s="170"/>
      <c r="FQ93" s="170"/>
      <c r="FR93" s="170"/>
      <c r="FS93" s="170"/>
      <c r="FT93" s="170"/>
      <c r="FU93" s="170"/>
      <c r="FV93" s="170"/>
      <c r="FW93" s="170"/>
      <c r="FX93" s="170"/>
      <c r="FY93" s="170"/>
      <c r="FZ93" s="170"/>
      <c r="GA93" s="170"/>
      <c r="GB93" s="170"/>
      <c r="GC93" s="170"/>
      <c r="GD93" s="170"/>
      <c r="GE93" s="170"/>
      <c r="GF93" s="170"/>
      <c r="GG93" s="170"/>
      <c r="GH93" s="170"/>
      <c r="GI93" s="170"/>
      <c r="GJ93" s="170"/>
      <c r="GK93" s="170"/>
      <c r="GL93" s="170"/>
      <c r="GM93" s="170"/>
      <c r="GN93" s="170"/>
      <c r="GO93" s="170"/>
      <c r="GP93" s="170"/>
      <c r="GQ93" s="170"/>
      <c r="GR93" s="170"/>
      <c r="GS93" s="170"/>
      <c r="GT93" s="170"/>
      <c r="GU93" s="170"/>
      <c r="GV93" s="170"/>
      <c r="GW93" s="170"/>
      <c r="GX93" s="170"/>
      <c r="GY93" s="170"/>
      <c r="GZ93" s="170"/>
      <c r="HA93" s="170"/>
      <c r="HB93" s="170"/>
      <c r="HC93" s="170"/>
      <c r="HD93" s="170"/>
      <c r="HE93" s="170"/>
      <c r="HF93" s="170"/>
      <c r="HG93" s="170"/>
      <c r="HH93" s="170"/>
      <c r="HI93" s="170"/>
      <c r="HJ93" s="170"/>
      <c r="HK93" s="170"/>
      <c r="HL93" s="170"/>
      <c r="HM93" s="170"/>
      <c r="HN93" s="170"/>
      <c r="HO93" s="170"/>
      <c r="HP93" s="170"/>
      <c r="HQ93" s="170"/>
      <c r="HR93" s="170"/>
      <c r="HS93" s="170"/>
      <c r="HT93" s="170"/>
      <c r="HU93" s="170"/>
      <c r="HV93" s="170"/>
      <c r="HW93" s="170"/>
      <c r="HX93" s="170"/>
      <c r="HY93" s="170"/>
      <c r="HZ93" s="170"/>
      <c r="IA93" s="170"/>
      <c r="IB93" s="170"/>
      <c r="IC93" s="170"/>
      <c r="ID93" s="170"/>
      <c r="IE93" s="170"/>
      <c r="IF93" s="170"/>
      <c r="IG93" s="170"/>
      <c r="IH93" s="170"/>
      <c r="II93" s="170"/>
      <c r="IJ93" s="170"/>
      <c r="IK93" s="170"/>
      <c r="IL93" s="170"/>
      <c r="IM93" s="170"/>
      <c r="IN93" s="170"/>
    </row>
    <row r="94" spans="1:248" s="169" customFormat="1" hidden="1">
      <c r="A94" s="108"/>
      <c r="B94" s="46" t="s">
        <v>163</v>
      </c>
      <c r="C94" s="51">
        <v>1.27</v>
      </c>
      <c r="D94" s="51">
        <v>2.2200000000000002</v>
      </c>
      <c r="E94" s="51">
        <v>3.2</v>
      </c>
      <c r="F94" s="51">
        <v>3.7</v>
      </c>
      <c r="G94" s="51">
        <v>3.4</v>
      </c>
      <c r="H94" s="51">
        <v>3.36</v>
      </c>
      <c r="I94" s="51">
        <v>3.46</v>
      </c>
      <c r="J94" s="51">
        <v>3.53</v>
      </c>
      <c r="K94" s="51">
        <v>3.23</v>
      </c>
      <c r="L94" s="51">
        <v>2.57</v>
      </c>
      <c r="M94" s="51">
        <v>1.66</v>
      </c>
      <c r="N94" s="51">
        <v>1.17</v>
      </c>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0"/>
      <c r="BR94" s="170"/>
      <c r="BS94" s="170"/>
      <c r="BT94" s="170"/>
      <c r="BU94" s="170"/>
      <c r="BV94" s="170"/>
      <c r="BW94" s="170"/>
      <c r="BX94" s="170"/>
      <c r="BY94" s="170"/>
      <c r="BZ94" s="170"/>
      <c r="CA94" s="170"/>
      <c r="CB94" s="170"/>
      <c r="CC94" s="170"/>
      <c r="CD94" s="170"/>
      <c r="CE94" s="170"/>
      <c r="CF94" s="170"/>
      <c r="CG94" s="170"/>
      <c r="CH94" s="170"/>
      <c r="CI94" s="170"/>
      <c r="CJ94" s="170"/>
      <c r="CK94" s="170"/>
      <c r="CL94" s="170"/>
      <c r="CM94" s="170"/>
      <c r="CN94" s="170"/>
      <c r="CO94" s="170"/>
      <c r="CP94" s="170"/>
      <c r="CQ94" s="170"/>
      <c r="CR94" s="170"/>
      <c r="CS94" s="170"/>
      <c r="CT94" s="170"/>
      <c r="CU94" s="170"/>
      <c r="CV94" s="170"/>
      <c r="CW94" s="170"/>
      <c r="CX94" s="170"/>
      <c r="CY94" s="170"/>
      <c r="CZ94" s="170"/>
      <c r="DA94" s="170"/>
      <c r="DB94" s="170"/>
      <c r="DC94" s="170"/>
      <c r="DD94" s="170"/>
      <c r="DE94" s="170"/>
      <c r="DF94" s="170"/>
      <c r="DG94" s="170"/>
      <c r="DH94" s="170"/>
      <c r="DI94" s="170"/>
      <c r="DJ94" s="170"/>
      <c r="DK94" s="170"/>
      <c r="DL94" s="170"/>
      <c r="DM94" s="170"/>
      <c r="DN94" s="170"/>
      <c r="DO94" s="170"/>
      <c r="DP94" s="170"/>
      <c r="DQ94" s="170"/>
      <c r="DR94" s="170"/>
      <c r="DS94" s="170"/>
      <c r="DT94" s="170"/>
      <c r="DU94" s="170"/>
      <c r="DV94" s="170"/>
      <c r="DW94" s="170"/>
      <c r="DX94" s="170"/>
      <c r="DY94" s="170"/>
      <c r="DZ94" s="170"/>
      <c r="EA94" s="170"/>
      <c r="EB94" s="170"/>
      <c r="EC94" s="170"/>
      <c r="ED94" s="170"/>
      <c r="EE94" s="170"/>
      <c r="EF94" s="170"/>
      <c r="EG94" s="170"/>
      <c r="EH94" s="170"/>
      <c r="EI94" s="170"/>
      <c r="EJ94" s="170"/>
      <c r="EK94" s="170"/>
      <c r="EL94" s="170"/>
      <c r="EM94" s="170"/>
      <c r="EN94" s="170"/>
      <c r="EO94" s="170"/>
      <c r="EP94" s="170"/>
      <c r="EQ94" s="170"/>
      <c r="ER94" s="170"/>
      <c r="ES94" s="170"/>
      <c r="ET94" s="170"/>
      <c r="EU94" s="170"/>
      <c r="EV94" s="170"/>
      <c r="EW94" s="170"/>
      <c r="EX94" s="170"/>
      <c r="EY94" s="170"/>
      <c r="EZ94" s="170"/>
      <c r="FA94" s="170"/>
      <c r="FB94" s="170"/>
      <c r="FC94" s="170"/>
      <c r="FD94" s="170"/>
      <c r="FE94" s="170"/>
      <c r="FF94" s="170"/>
      <c r="FG94" s="170"/>
      <c r="FH94" s="170"/>
      <c r="FI94" s="170"/>
      <c r="FJ94" s="170"/>
      <c r="FK94" s="170"/>
      <c r="FL94" s="170"/>
      <c r="FM94" s="170"/>
      <c r="FN94" s="170"/>
      <c r="FO94" s="170"/>
      <c r="FP94" s="170"/>
      <c r="FQ94" s="170"/>
      <c r="FR94" s="170"/>
      <c r="FS94" s="170"/>
      <c r="FT94" s="170"/>
      <c r="FU94" s="170"/>
      <c r="FV94" s="170"/>
      <c r="FW94" s="170"/>
      <c r="FX94" s="170"/>
      <c r="FY94" s="170"/>
      <c r="FZ94" s="170"/>
      <c r="GA94" s="170"/>
      <c r="GB94" s="170"/>
      <c r="GC94" s="170"/>
      <c r="GD94" s="170"/>
      <c r="GE94" s="170"/>
      <c r="GF94" s="170"/>
      <c r="GG94" s="170"/>
      <c r="GH94" s="170"/>
      <c r="GI94" s="170"/>
      <c r="GJ94" s="170"/>
      <c r="GK94" s="170"/>
      <c r="GL94" s="170"/>
      <c r="GM94" s="170"/>
      <c r="GN94" s="170"/>
      <c r="GO94" s="170"/>
      <c r="GP94" s="170"/>
      <c r="GQ94" s="170"/>
      <c r="GR94" s="170"/>
      <c r="GS94" s="170"/>
      <c r="GT94" s="170"/>
      <c r="GU94" s="170"/>
      <c r="GV94" s="170"/>
      <c r="GW94" s="170"/>
      <c r="GX94" s="170"/>
      <c r="GY94" s="170"/>
      <c r="GZ94" s="170"/>
      <c r="HA94" s="170"/>
      <c r="HB94" s="170"/>
      <c r="HC94" s="170"/>
      <c r="HD94" s="170"/>
      <c r="HE94" s="170"/>
      <c r="HF94" s="170"/>
      <c r="HG94" s="170"/>
      <c r="HH94" s="170"/>
      <c r="HI94" s="170"/>
      <c r="HJ94" s="170"/>
      <c r="HK94" s="170"/>
      <c r="HL94" s="170"/>
      <c r="HM94" s="170"/>
      <c r="HN94" s="170"/>
      <c r="HO94" s="170"/>
      <c r="HP94" s="170"/>
      <c r="HQ94" s="170"/>
      <c r="HR94" s="170"/>
      <c r="HS94" s="170"/>
      <c r="HT94" s="170"/>
      <c r="HU94" s="170"/>
      <c r="HV94" s="170"/>
      <c r="HW94" s="170"/>
      <c r="HX94" s="170"/>
      <c r="HY94" s="170"/>
      <c r="HZ94" s="170"/>
      <c r="IA94" s="170"/>
      <c r="IB94" s="170"/>
      <c r="IC94" s="170"/>
      <c r="ID94" s="170"/>
      <c r="IE94" s="170"/>
      <c r="IF94" s="170"/>
      <c r="IG94" s="170"/>
      <c r="IH94" s="170"/>
      <c r="II94" s="170"/>
      <c r="IJ94" s="170"/>
      <c r="IK94" s="170"/>
      <c r="IL94" s="170"/>
      <c r="IM94" s="170"/>
      <c r="IN94" s="170"/>
    </row>
    <row r="95" spans="1:248" s="169" customFormat="1" hidden="1">
      <c r="A95" s="108"/>
      <c r="B95" s="46" t="s">
        <v>164</v>
      </c>
      <c r="C95" s="51">
        <v>1.95</v>
      </c>
      <c r="D95" s="51">
        <v>2.86</v>
      </c>
      <c r="E95" s="51">
        <v>3.54</v>
      </c>
      <c r="F95" s="51">
        <v>3.53</v>
      </c>
      <c r="G95" s="51">
        <v>3.15</v>
      </c>
      <c r="H95" s="51">
        <v>3.01</v>
      </c>
      <c r="I95" s="51">
        <v>3.19</v>
      </c>
      <c r="J95" s="51">
        <v>3.29</v>
      </c>
      <c r="K95" s="51">
        <v>3.25</v>
      </c>
      <c r="L95" s="51">
        <v>2.89</v>
      </c>
      <c r="M95" s="51">
        <v>2.09</v>
      </c>
      <c r="N95" s="51">
        <v>1.71</v>
      </c>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0"/>
      <c r="BN95" s="170"/>
      <c r="BO95" s="170"/>
      <c r="BP95" s="170"/>
      <c r="BQ95" s="170"/>
      <c r="BR95" s="170"/>
      <c r="BS95" s="170"/>
      <c r="BT95" s="170"/>
      <c r="BU95" s="170"/>
      <c r="BV95" s="170"/>
      <c r="BW95" s="170"/>
      <c r="BX95" s="170"/>
      <c r="BY95" s="170"/>
      <c r="BZ95" s="170"/>
      <c r="CA95" s="170"/>
      <c r="CB95" s="170"/>
      <c r="CC95" s="170"/>
      <c r="CD95" s="170"/>
      <c r="CE95" s="170"/>
      <c r="CF95" s="170"/>
      <c r="CG95" s="170"/>
      <c r="CH95" s="170"/>
      <c r="CI95" s="170"/>
      <c r="CJ95" s="170"/>
      <c r="CK95" s="170"/>
      <c r="CL95" s="170"/>
      <c r="CM95" s="170"/>
      <c r="CN95" s="170"/>
      <c r="CO95" s="170"/>
      <c r="CP95" s="170"/>
      <c r="CQ95" s="170"/>
      <c r="CR95" s="170"/>
      <c r="CS95" s="170"/>
      <c r="CT95" s="170"/>
      <c r="CU95" s="170"/>
      <c r="CV95" s="170"/>
      <c r="CW95" s="170"/>
      <c r="CX95" s="170"/>
      <c r="CY95" s="170"/>
      <c r="CZ95" s="170"/>
      <c r="DA95" s="170"/>
      <c r="DB95" s="170"/>
      <c r="DC95" s="170"/>
      <c r="DD95" s="170"/>
      <c r="DE95" s="170"/>
      <c r="DF95" s="170"/>
      <c r="DG95" s="170"/>
      <c r="DH95" s="170"/>
      <c r="DI95" s="170"/>
      <c r="DJ95" s="170"/>
      <c r="DK95" s="170"/>
      <c r="DL95" s="170"/>
      <c r="DM95" s="170"/>
      <c r="DN95" s="170"/>
      <c r="DO95" s="170"/>
      <c r="DP95" s="170"/>
      <c r="DQ95" s="170"/>
      <c r="DR95" s="170"/>
      <c r="DS95" s="170"/>
      <c r="DT95" s="170"/>
      <c r="DU95" s="170"/>
      <c r="DV95" s="170"/>
      <c r="DW95" s="170"/>
      <c r="DX95" s="170"/>
      <c r="DY95" s="170"/>
      <c r="DZ95" s="170"/>
      <c r="EA95" s="170"/>
      <c r="EB95" s="170"/>
      <c r="EC95" s="170"/>
      <c r="ED95" s="170"/>
      <c r="EE95" s="170"/>
      <c r="EF95" s="170"/>
      <c r="EG95" s="170"/>
      <c r="EH95" s="170"/>
      <c r="EI95" s="170"/>
      <c r="EJ95" s="170"/>
      <c r="EK95" s="170"/>
      <c r="EL95" s="170"/>
      <c r="EM95" s="170"/>
      <c r="EN95" s="170"/>
      <c r="EO95" s="170"/>
      <c r="EP95" s="170"/>
      <c r="EQ95" s="170"/>
      <c r="ER95" s="170"/>
      <c r="ES95" s="170"/>
      <c r="ET95" s="170"/>
      <c r="EU95" s="170"/>
      <c r="EV95" s="170"/>
      <c r="EW95" s="170"/>
      <c r="EX95" s="170"/>
      <c r="EY95" s="170"/>
      <c r="EZ95" s="170"/>
      <c r="FA95" s="170"/>
      <c r="FB95" s="170"/>
      <c r="FC95" s="170"/>
      <c r="FD95" s="170"/>
      <c r="FE95" s="170"/>
      <c r="FF95" s="170"/>
      <c r="FG95" s="170"/>
      <c r="FH95" s="170"/>
      <c r="FI95" s="170"/>
      <c r="FJ95" s="170"/>
      <c r="FK95" s="170"/>
      <c r="FL95" s="170"/>
      <c r="FM95" s="170"/>
      <c r="FN95" s="170"/>
      <c r="FO95" s="170"/>
      <c r="FP95" s="170"/>
      <c r="FQ95" s="170"/>
      <c r="FR95" s="170"/>
      <c r="FS95" s="170"/>
      <c r="FT95" s="170"/>
      <c r="FU95" s="170"/>
      <c r="FV95" s="170"/>
      <c r="FW95" s="170"/>
      <c r="FX95" s="170"/>
      <c r="FY95" s="170"/>
      <c r="FZ95" s="170"/>
      <c r="GA95" s="170"/>
      <c r="GB95" s="170"/>
      <c r="GC95" s="170"/>
      <c r="GD95" s="170"/>
      <c r="GE95" s="170"/>
      <c r="GF95" s="170"/>
      <c r="GG95" s="170"/>
      <c r="GH95" s="170"/>
      <c r="GI95" s="170"/>
      <c r="GJ95" s="170"/>
      <c r="GK95" s="170"/>
      <c r="GL95" s="170"/>
      <c r="GM95" s="170"/>
      <c r="GN95" s="170"/>
      <c r="GO95" s="170"/>
      <c r="GP95" s="170"/>
      <c r="GQ95" s="170"/>
      <c r="GR95" s="170"/>
      <c r="GS95" s="170"/>
      <c r="GT95" s="170"/>
      <c r="GU95" s="170"/>
      <c r="GV95" s="170"/>
      <c r="GW95" s="170"/>
      <c r="GX95" s="170"/>
      <c r="GY95" s="170"/>
      <c r="GZ95" s="170"/>
      <c r="HA95" s="170"/>
      <c r="HB95" s="170"/>
      <c r="HC95" s="170"/>
      <c r="HD95" s="170"/>
      <c r="HE95" s="170"/>
      <c r="HF95" s="170"/>
      <c r="HG95" s="170"/>
      <c r="HH95" s="170"/>
      <c r="HI95" s="170"/>
      <c r="HJ95" s="170"/>
      <c r="HK95" s="170"/>
      <c r="HL95" s="170"/>
      <c r="HM95" s="170"/>
      <c r="HN95" s="170"/>
      <c r="HO95" s="170"/>
      <c r="HP95" s="170"/>
      <c r="HQ95" s="170"/>
      <c r="HR95" s="170"/>
      <c r="HS95" s="170"/>
      <c r="HT95" s="170"/>
      <c r="HU95" s="170"/>
      <c r="HV95" s="170"/>
      <c r="HW95" s="170"/>
      <c r="HX95" s="170"/>
      <c r="HY95" s="170"/>
      <c r="HZ95" s="170"/>
      <c r="IA95" s="170"/>
      <c r="IB95" s="170"/>
      <c r="IC95" s="170"/>
      <c r="ID95" s="170"/>
      <c r="IE95" s="170"/>
      <c r="IF95" s="170"/>
      <c r="IG95" s="170"/>
      <c r="IH95" s="170"/>
      <c r="II95" s="170"/>
      <c r="IJ95" s="170"/>
      <c r="IK95" s="170"/>
      <c r="IL95" s="170"/>
      <c r="IM95" s="170"/>
      <c r="IN95" s="170"/>
    </row>
    <row r="96" spans="1:248" s="169" customFormat="1" hidden="1">
      <c r="A96" s="108"/>
      <c r="B96" s="46" t="s">
        <v>165</v>
      </c>
      <c r="C96" s="51">
        <v>1.65</v>
      </c>
      <c r="D96" s="51">
        <v>2.69</v>
      </c>
      <c r="E96" s="51">
        <v>3.49</v>
      </c>
      <c r="F96" s="51">
        <v>3.52</v>
      </c>
      <c r="G96" s="51">
        <v>3.15</v>
      </c>
      <c r="H96" s="51">
        <v>3.1</v>
      </c>
      <c r="I96" s="51">
        <v>3.18</v>
      </c>
      <c r="J96" s="51">
        <v>3.32</v>
      </c>
      <c r="K96" s="51">
        <v>3.1</v>
      </c>
      <c r="L96" s="51">
        <v>2.57</v>
      </c>
      <c r="M96" s="51">
        <v>1.88</v>
      </c>
      <c r="N96" s="51">
        <v>0.93</v>
      </c>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0"/>
      <c r="BN96" s="170"/>
      <c r="BO96" s="170"/>
      <c r="BP96" s="170"/>
      <c r="BQ96" s="170"/>
      <c r="BR96" s="170"/>
      <c r="BS96" s="170"/>
      <c r="BT96" s="170"/>
      <c r="BU96" s="170"/>
      <c r="BV96" s="170"/>
      <c r="BW96" s="170"/>
      <c r="BX96" s="170"/>
      <c r="BY96" s="170"/>
      <c r="BZ96" s="170"/>
      <c r="CA96" s="170"/>
      <c r="CB96" s="170"/>
      <c r="CC96" s="170"/>
      <c r="CD96" s="170"/>
      <c r="CE96" s="170"/>
      <c r="CF96" s="170"/>
      <c r="CG96" s="170"/>
      <c r="CH96" s="170"/>
      <c r="CI96" s="170"/>
      <c r="CJ96" s="170"/>
      <c r="CK96" s="170"/>
      <c r="CL96" s="170"/>
      <c r="CM96" s="170"/>
      <c r="CN96" s="170"/>
      <c r="CO96" s="170"/>
      <c r="CP96" s="170"/>
      <c r="CQ96" s="170"/>
      <c r="CR96" s="170"/>
      <c r="CS96" s="170"/>
      <c r="CT96" s="170"/>
      <c r="CU96" s="170"/>
      <c r="CV96" s="170"/>
      <c r="CW96" s="170"/>
      <c r="CX96" s="170"/>
      <c r="CY96" s="170"/>
      <c r="CZ96" s="170"/>
      <c r="DA96" s="170"/>
      <c r="DB96" s="170"/>
      <c r="DC96" s="170"/>
      <c r="DD96" s="170"/>
      <c r="DE96" s="170"/>
      <c r="DF96" s="170"/>
      <c r="DG96" s="170"/>
      <c r="DH96" s="170"/>
      <c r="DI96" s="170"/>
      <c r="DJ96" s="170"/>
      <c r="DK96" s="170"/>
      <c r="DL96" s="170"/>
      <c r="DM96" s="170"/>
      <c r="DN96" s="170"/>
      <c r="DO96" s="170"/>
      <c r="DP96" s="170"/>
      <c r="DQ96" s="170"/>
      <c r="DR96" s="170"/>
      <c r="DS96" s="170"/>
      <c r="DT96" s="170"/>
      <c r="DU96" s="170"/>
      <c r="DV96" s="170"/>
      <c r="DW96" s="170"/>
      <c r="DX96" s="170"/>
      <c r="DY96" s="170"/>
      <c r="DZ96" s="170"/>
      <c r="EA96" s="170"/>
      <c r="EB96" s="170"/>
      <c r="EC96" s="170"/>
      <c r="ED96" s="170"/>
      <c r="EE96" s="170"/>
      <c r="EF96" s="170"/>
      <c r="EG96" s="170"/>
      <c r="EH96" s="170"/>
      <c r="EI96" s="170"/>
      <c r="EJ96" s="170"/>
      <c r="EK96" s="170"/>
      <c r="EL96" s="170"/>
      <c r="EM96" s="170"/>
      <c r="EN96" s="170"/>
      <c r="EO96" s="170"/>
      <c r="EP96" s="170"/>
      <c r="EQ96" s="170"/>
      <c r="ER96" s="170"/>
      <c r="ES96" s="170"/>
      <c r="ET96" s="170"/>
      <c r="EU96" s="170"/>
      <c r="EV96" s="170"/>
      <c r="EW96" s="170"/>
      <c r="EX96" s="170"/>
      <c r="EY96" s="170"/>
      <c r="EZ96" s="170"/>
      <c r="FA96" s="170"/>
      <c r="FB96" s="170"/>
      <c r="FC96" s="170"/>
      <c r="FD96" s="170"/>
      <c r="FE96" s="170"/>
      <c r="FF96" s="170"/>
      <c r="FG96" s="170"/>
      <c r="FH96" s="170"/>
      <c r="FI96" s="170"/>
      <c r="FJ96" s="170"/>
      <c r="FK96" s="170"/>
      <c r="FL96" s="170"/>
      <c r="FM96" s="170"/>
      <c r="FN96" s="170"/>
      <c r="FO96" s="170"/>
      <c r="FP96" s="170"/>
      <c r="FQ96" s="170"/>
      <c r="FR96" s="170"/>
      <c r="FS96" s="170"/>
      <c r="FT96" s="170"/>
      <c r="FU96" s="170"/>
      <c r="FV96" s="170"/>
      <c r="FW96" s="170"/>
      <c r="FX96" s="170"/>
      <c r="FY96" s="170"/>
      <c r="FZ96" s="170"/>
      <c r="GA96" s="170"/>
      <c r="GB96" s="170"/>
      <c r="GC96" s="170"/>
      <c r="GD96" s="170"/>
      <c r="GE96" s="170"/>
      <c r="GF96" s="170"/>
      <c r="GG96" s="170"/>
      <c r="GH96" s="170"/>
      <c r="GI96" s="170"/>
      <c r="GJ96" s="170"/>
      <c r="GK96" s="170"/>
      <c r="GL96" s="170"/>
      <c r="GM96" s="170"/>
      <c r="GN96" s="170"/>
      <c r="GO96" s="170"/>
      <c r="GP96" s="170"/>
      <c r="GQ96" s="170"/>
      <c r="GR96" s="170"/>
      <c r="GS96" s="170"/>
      <c r="GT96" s="170"/>
      <c r="GU96" s="170"/>
      <c r="GV96" s="170"/>
      <c r="GW96" s="170"/>
      <c r="GX96" s="170"/>
      <c r="GY96" s="170"/>
      <c r="GZ96" s="170"/>
      <c r="HA96" s="170"/>
      <c r="HB96" s="170"/>
      <c r="HC96" s="170"/>
      <c r="HD96" s="170"/>
      <c r="HE96" s="170"/>
      <c r="HF96" s="170"/>
      <c r="HG96" s="170"/>
      <c r="HH96" s="170"/>
      <c r="HI96" s="170"/>
      <c r="HJ96" s="170"/>
      <c r="HK96" s="170"/>
      <c r="HL96" s="170"/>
      <c r="HM96" s="170"/>
      <c r="HN96" s="170"/>
      <c r="HO96" s="170"/>
      <c r="HP96" s="170"/>
      <c r="HQ96" s="170"/>
      <c r="HR96" s="170"/>
      <c r="HS96" s="170"/>
      <c r="HT96" s="170"/>
      <c r="HU96" s="170"/>
      <c r="HV96" s="170"/>
      <c r="HW96" s="170"/>
      <c r="HX96" s="170"/>
      <c r="HY96" s="170"/>
      <c r="HZ96" s="170"/>
      <c r="IA96" s="170"/>
      <c r="IB96" s="170"/>
      <c r="IC96" s="170"/>
      <c r="ID96" s="170"/>
      <c r="IE96" s="170"/>
      <c r="IF96" s="170"/>
      <c r="IG96" s="170"/>
      <c r="IH96" s="170"/>
      <c r="II96" s="170"/>
      <c r="IJ96" s="170"/>
      <c r="IK96" s="170"/>
      <c r="IL96" s="170"/>
      <c r="IM96" s="170"/>
      <c r="IN96" s="170"/>
    </row>
    <row r="97" spans="1:248" s="169" customFormat="1" hidden="1">
      <c r="A97" s="108"/>
      <c r="B97" s="46" t="s">
        <v>166</v>
      </c>
      <c r="C97" s="51">
        <v>1.8</v>
      </c>
      <c r="D97" s="51">
        <v>2.77</v>
      </c>
      <c r="E97" s="51">
        <v>3.52</v>
      </c>
      <c r="F97" s="51">
        <v>3.51</v>
      </c>
      <c r="G97" s="51">
        <v>3.15</v>
      </c>
      <c r="H97" s="51">
        <v>3.02</v>
      </c>
      <c r="I97" s="51">
        <v>3.21</v>
      </c>
      <c r="J97" s="51">
        <v>3.3</v>
      </c>
      <c r="K97" s="51">
        <v>3.15</v>
      </c>
      <c r="L97" s="51">
        <v>2.73</v>
      </c>
      <c r="M97" s="51">
        <v>1.98</v>
      </c>
      <c r="N97" s="51">
        <v>1.19</v>
      </c>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c r="BN97" s="170"/>
      <c r="BO97" s="170"/>
      <c r="BP97" s="170"/>
      <c r="BQ97" s="170"/>
      <c r="BR97" s="170"/>
      <c r="BS97" s="170"/>
      <c r="BT97" s="170"/>
      <c r="BU97" s="170"/>
      <c r="BV97" s="170"/>
      <c r="BW97" s="170"/>
      <c r="BX97" s="170"/>
      <c r="BY97" s="170"/>
      <c r="BZ97" s="170"/>
      <c r="CA97" s="170"/>
      <c r="CB97" s="170"/>
      <c r="CC97" s="170"/>
      <c r="CD97" s="170"/>
      <c r="CE97" s="170"/>
      <c r="CF97" s="170"/>
      <c r="CG97" s="170"/>
      <c r="CH97" s="170"/>
      <c r="CI97" s="170"/>
      <c r="CJ97" s="170"/>
      <c r="CK97" s="170"/>
      <c r="CL97" s="170"/>
      <c r="CM97" s="170"/>
      <c r="CN97" s="170"/>
      <c r="CO97" s="170"/>
      <c r="CP97" s="170"/>
      <c r="CQ97" s="170"/>
      <c r="CR97" s="170"/>
      <c r="CS97" s="170"/>
      <c r="CT97" s="170"/>
      <c r="CU97" s="170"/>
      <c r="CV97" s="170"/>
      <c r="CW97" s="170"/>
      <c r="CX97" s="170"/>
      <c r="CY97" s="170"/>
      <c r="CZ97" s="170"/>
      <c r="DA97" s="170"/>
      <c r="DB97" s="170"/>
      <c r="DC97" s="170"/>
      <c r="DD97" s="170"/>
      <c r="DE97" s="170"/>
      <c r="DF97" s="170"/>
      <c r="DG97" s="170"/>
      <c r="DH97" s="170"/>
      <c r="DI97" s="170"/>
      <c r="DJ97" s="170"/>
      <c r="DK97" s="170"/>
      <c r="DL97" s="170"/>
      <c r="DM97" s="170"/>
      <c r="DN97" s="170"/>
      <c r="DO97" s="170"/>
      <c r="DP97" s="170"/>
      <c r="DQ97" s="170"/>
      <c r="DR97" s="170"/>
      <c r="DS97" s="170"/>
      <c r="DT97" s="170"/>
      <c r="DU97" s="170"/>
      <c r="DV97" s="170"/>
      <c r="DW97" s="170"/>
      <c r="DX97" s="170"/>
      <c r="DY97" s="170"/>
      <c r="DZ97" s="170"/>
      <c r="EA97" s="170"/>
      <c r="EB97" s="170"/>
      <c r="EC97" s="170"/>
      <c r="ED97" s="170"/>
      <c r="EE97" s="170"/>
      <c r="EF97" s="170"/>
      <c r="EG97" s="170"/>
      <c r="EH97" s="170"/>
      <c r="EI97" s="170"/>
      <c r="EJ97" s="170"/>
      <c r="EK97" s="170"/>
      <c r="EL97" s="170"/>
      <c r="EM97" s="170"/>
      <c r="EN97" s="170"/>
      <c r="EO97" s="170"/>
      <c r="EP97" s="170"/>
      <c r="EQ97" s="170"/>
      <c r="ER97" s="170"/>
      <c r="ES97" s="170"/>
      <c r="ET97" s="170"/>
      <c r="EU97" s="170"/>
      <c r="EV97" s="170"/>
      <c r="EW97" s="170"/>
      <c r="EX97" s="170"/>
      <c r="EY97" s="170"/>
      <c r="EZ97" s="170"/>
      <c r="FA97" s="170"/>
      <c r="FB97" s="170"/>
      <c r="FC97" s="170"/>
      <c r="FD97" s="170"/>
      <c r="FE97" s="170"/>
      <c r="FF97" s="170"/>
      <c r="FG97" s="170"/>
      <c r="FH97" s="170"/>
      <c r="FI97" s="170"/>
      <c r="FJ97" s="170"/>
      <c r="FK97" s="170"/>
      <c r="FL97" s="170"/>
      <c r="FM97" s="170"/>
      <c r="FN97" s="170"/>
      <c r="FO97" s="170"/>
      <c r="FP97" s="170"/>
      <c r="FQ97" s="170"/>
      <c r="FR97" s="170"/>
      <c r="FS97" s="170"/>
      <c r="FT97" s="170"/>
      <c r="FU97" s="170"/>
      <c r="FV97" s="170"/>
      <c r="FW97" s="170"/>
      <c r="FX97" s="170"/>
      <c r="FY97" s="170"/>
      <c r="FZ97" s="170"/>
      <c r="GA97" s="170"/>
      <c r="GB97" s="170"/>
      <c r="GC97" s="170"/>
      <c r="GD97" s="170"/>
      <c r="GE97" s="170"/>
      <c r="GF97" s="170"/>
      <c r="GG97" s="170"/>
      <c r="GH97" s="170"/>
      <c r="GI97" s="170"/>
      <c r="GJ97" s="170"/>
      <c r="GK97" s="170"/>
      <c r="GL97" s="170"/>
      <c r="GM97" s="170"/>
      <c r="GN97" s="170"/>
      <c r="GO97" s="170"/>
      <c r="GP97" s="170"/>
      <c r="GQ97" s="170"/>
      <c r="GR97" s="170"/>
      <c r="GS97" s="170"/>
      <c r="GT97" s="170"/>
      <c r="GU97" s="170"/>
      <c r="GV97" s="170"/>
      <c r="GW97" s="170"/>
      <c r="GX97" s="170"/>
      <c r="GY97" s="170"/>
      <c r="GZ97" s="170"/>
      <c r="HA97" s="170"/>
      <c r="HB97" s="170"/>
      <c r="HC97" s="170"/>
      <c r="HD97" s="170"/>
      <c r="HE97" s="170"/>
      <c r="HF97" s="170"/>
      <c r="HG97" s="170"/>
      <c r="HH97" s="170"/>
      <c r="HI97" s="170"/>
      <c r="HJ97" s="170"/>
      <c r="HK97" s="170"/>
      <c r="HL97" s="170"/>
      <c r="HM97" s="170"/>
      <c r="HN97" s="170"/>
      <c r="HO97" s="170"/>
      <c r="HP97" s="170"/>
      <c r="HQ97" s="170"/>
      <c r="HR97" s="170"/>
      <c r="HS97" s="170"/>
      <c r="HT97" s="170"/>
      <c r="HU97" s="170"/>
      <c r="HV97" s="170"/>
      <c r="HW97" s="170"/>
      <c r="HX97" s="170"/>
      <c r="HY97" s="170"/>
      <c r="HZ97" s="170"/>
      <c r="IA97" s="170"/>
      <c r="IB97" s="170"/>
      <c r="IC97" s="170"/>
      <c r="ID97" s="170"/>
      <c r="IE97" s="170"/>
      <c r="IF97" s="170"/>
      <c r="IG97" s="170"/>
      <c r="IH97" s="170"/>
      <c r="II97" s="170"/>
      <c r="IJ97" s="170"/>
      <c r="IK97" s="170"/>
      <c r="IL97" s="170"/>
      <c r="IM97" s="170"/>
      <c r="IN97" s="170"/>
    </row>
    <row r="98" spans="1:248" s="169" customFormat="1" hidden="1">
      <c r="A98" s="108"/>
      <c r="B98" s="46" t="s">
        <v>171</v>
      </c>
      <c r="C98" s="51">
        <v>1.82</v>
      </c>
      <c r="D98" s="51">
        <v>2.68</v>
      </c>
      <c r="E98" s="51">
        <v>3.32</v>
      </c>
      <c r="F98" s="51">
        <v>3.51</v>
      </c>
      <c r="G98" s="51">
        <v>3.18</v>
      </c>
      <c r="H98" s="51">
        <v>3.05</v>
      </c>
      <c r="I98" s="51">
        <v>3.33</v>
      </c>
      <c r="J98" s="51">
        <v>3.38</v>
      </c>
      <c r="K98" s="51">
        <v>3.3</v>
      </c>
      <c r="L98" s="51">
        <v>2.94</v>
      </c>
      <c r="M98" s="51">
        <v>2.0499999999999998</v>
      </c>
      <c r="N98" s="51">
        <v>1.75</v>
      </c>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0"/>
      <c r="BR98" s="170"/>
      <c r="BS98" s="170"/>
      <c r="BT98" s="170"/>
      <c r="BU98" s="170"/>
      <c r="BV98" s="170"/>
      <c r="BW98" s="170"/>
      <c r="BX98" s="170"/>
      <c r="BY98" s="170"/>
      <c r="BZ98" s="170"/>
      <c r="CA98" s="170"/>
      <c r="CB98" s="170"/>
      <c r="CC98" s="170"/>
      <c r="CD98" s="170"/>
      <c r="CE98" s="170"/>
      <c r="CF98" s="170"/>
      <c r="CG98" s="170"/>
      <c r="CH98" s="170"/>
      <c r="CI98" s="170"/>
      <c r="CJ98" s="170"/>
      <c r="CK98" s="170"/>
      <c r="CL98" s="170"/>
      <c r="CM98" s="170"/>
      <c r="CN98" s="170"/>
      <c r="CO98" s="170"/>
      <c r="CP98" s="170"/>
      <c r="CQ98" s="170"/>
      <c r="CR98" s="170"/>
      <c r="CS98" s="170"/>
      <c r="CT98" s="170"/>
      <c r="CU98" s="170"/>
      <c r="CV98" s="170"/>
      <c r="CW98" s="170"/>
      <c r="CX98" s="170"/>
      <c r="CY98" s="170"/>
      <c r="CZ98" s="170"/>
      <c r="DA98" s="170"/>
      <c r="DB98" s="170"/>
      <c r="DC98" s="170"/>
      <c r="DD98" s="170"/>
      <c r="DE98" s="170"/>
      <c r="DF98" s="170"/>
      <c r="DG98" s="170"/>
      <c r="DH98" s="170"/>
      <c r="DI98" s="170"/>
      <c r="DJ98" s="170"/>
      <c r="DK98" s="170"/>
      <c r="DL98" s="170"/>
      <c r="DM98" s="170"/>
      <c r="DN98" s="170"/>
      <c r="DO98" s="170"/>
      <c r="DP98" s="170"/>
      <c r="DQ98" s="170"/>
      <c r="DR98" s="170"/>
      <c r="DS98" s="170"/>
      <c r="DT98" s="170"/>
      <c r="DU98" s="170"/>
      <c r="DV98" s="170"/>
      <c r="DW98" s="170"/>
      <c r="DX98" s="170"/>
      <c r="DY98" s="170"/>
      <c r="DZ98" s="170"/>
      <c r="EA98" s="170"/>
      <c r="EB98" s="170"/>
      <c r="EC98" s="170"/>
      <c r="ED98" s="170"/>
      <c r="EE98" s="170"/>
      <c r="EF98" s="170"/>
      <c r="EG98" s="170"/>
      <c r="EH98" s="170"/>
      <c r="EI98" s="170"/>
      <c r="EJ98" s="170"/>
      <c r="EK98" s="170"/>
      <c r="EL98" s="170"/>
      <c r="EM98" s="170"/>
      <c r="EN98" s="170"/>
      <c r="EO98" s="170"/>
      <c r="EP98" s="170"/>
      <c r="EQ98" s="170"/>
      <c r="ER98" s="170"/>
      <c r="ES98" s="170"/>
      <c r="ET98" s="170"/>
      <c r="EU98" s="170"/>
      <c r="EV98" s="170"/>
      <c r="EW98" s="170"/>
      <c r="EX98" s="170"/>
      <c r="EY98" s="170"/>
      <c r="EZ98" s="170"/>
      <c r="FA98" s="170"/>
      <c r="FB98" s="170"/>
      <c r="FC98" s="170"/>
      <c r="FD98" s="170"/>
      <c r="FE98" s="170"/>
      <c r="FF98" s="170"/>
      <c r="FG98" s="170"/>
      <c r="FH98" s="170"/>
      <c r="FI98" s="170"/>
      <c r="FJ98" s="170"/>
      <c r="FK98" s="170"/>
      <c r="FL98" s="170"/>
      <c r="FM98" s="170"/>
      <c r="FN98" s="170"/>
      <c r="FO98" s="170"/>
      <c r="FP98" s="170"/>
      <c r="FQ98" s="170"/>
      <c r="FR98" s="170"/>
      <c r="FS98" s="170"/>
      <c r="FT98" s="170"/>
      <c r="FU98" s="170"/>
      <c r="FV98" s="170"/>
      <c r="FW98" s="170"/>
      <c r="FX98" s="170"/>
      <c r="FY98" s="170"/>
      <c r="FZ98" s="170"/>
      <c r="GA98" s="170"/>
      <c r="GB98" s="170"/>
      <c r="GC98" s="170"/>
      <c r="GD98" s="170"/>
      <c r="GE98" s="170"/>
      <c r="GF98" s="170"/>
      <c r="GG98" s="170"/>
      <c r="GH98" s="170"/>
      <c r="GI98" s="170"/>
      <c r="GJ98" s="170"/>
      <c r="GK98" s="170"/>
      <c r="GL98" s="170"/>
      <c r="GM98" s="170"/>
      <c r="GN98" s="170"/>
      <c r="GO98" s="170"/>
      <c r="GP98" s="170"/>
      <c r="GQ98" s="170"/>
      <c r="GR98" s="170"/>
      <c r="GS98" s="170"/>
      <c r="GT98" s="170"/>
      <c r="GU98" s="170"/>
      <c r="GV98" s="170"/>
      <c r="GW98" s="170"/>
      <c r="GX98" s="170"/>
      <c r="GY98" s="170"/>
      <c r="GZ98" s="170"/>
      <c r="HA98" s="170"/>
      <c r="HB98" s="170"/>
      <c r="HC98" s="170"/>
      <c r="HD98" s="170"/>
      <c r="HE98" s="170"/>
      <c r="HF98" s="170"/>
      <c r="HG98" s="170"/>
      <c r="HH98" s="170"/>
      <c r="HI98" s="170"/>
      <c r="HJ98" s="170"/>
      <c r="HK98" s="170"/>
      <c r="HL98" s="170"/>
      <c r="HM98" s="170"/>
      <c r="HN98" s="170"/>
      <c r="HO98" s="170"/>
      <c r="HP98" s="170"/>
      <c r="HQ98" s="170"/>
      <c r="HR98" s="170"/>
      <c r="HS98" s="170"/>
      <c r="HT98" s="170"/>
      <c r="HU98" s="170"/>
      <c r="HV98" s="170"/>
      <c r="HW98" s="170"/>
      <c r="HX98" s="170"/>
      <c r="HY98" s="170"/>
      <c r="HZ98" s="170"/>
      <c r="IA98" s="170"/>
      <c r="IB98" s="170"/>
      <c r="IC98" s="170"/>
      <c r="ID98" s="170"/>
      <c r="IE98" s="170"/>
      <c r="IF98" s="170"/>
      <c r="IG98" s="170"/>
      <c r="IH98" s="170"/>
      <c r="II98" s="170"/>
      <c r="IJ98" s="170"/>
      <c r="IK98" s="170"/>
      <c r="IL98" s="170"/>
      <c r="IM98" s="170"/>
      <c r="IN98" s="170"/>
    </row>
    <row r="99" spans="1:248" s="169" customFormat="1" hidden="1">
      <c r="A99" s="108"/>
      <c r="B99" s="46" t="s">
        <v>167</v>
      </c>
      <c r="C99" s="51">
        <v>1.36</v>
      </c>
      <c r="D99" s="51">
        <v>2.33</v>
      </c>
      <c r="E99" s="51">
        <v>3.39</v>
      </c>
      <c r="F99" s="51">
        <v>3.79</v>
      </c>
      <c r="G99" s="51">
        <v>3.51</v>
      </c>
      <c r="H99" s="51">
        <v>3.41</v>
      </c>
      <c r="I99" s="51">
        <v>3.44</v>
      </c>
      <c r="J99" s="51">
        <v>3.56</v>
      </c>
      <c r="K99" s="51">
        <v>3.25</v>
      </c>
      <c r="L99" s="51">
        <v>2.54</v>
      </c>
      <c r="M99" s="51">
        <v>1.65</v>
      </c>
      <c r="N99" s="51">
        <v>1.1200000000000001</v>
      </c>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0"/>
      <c r="BN99" s="170"/>
      <c r="BO99" s="170"/>
      <c r="BP99" s="170"/>
      <c r="BQ99" s="170"/>
      <c r="BR99" s="170"/>
      <c r="BS99" s="170"/>
      <c r="BT99" s="170"/>
      <c r="BU99" s="170"/>
      <c r="BV99" s="170"/>
      <c r="BW99" s="170"/>
      <c r="BX99" s="170"/>
      <c r="BY99" s="170"/>
      <c r="BZ99" s="170"/>
      <c r="CA99" s="170"/>
      <c r="CB99" s="170"/>
      <c r="CC99" s="170"/>
      <c r="CD99" s="170"/>
      <c r="CE99" s="170"/>
      <c r="CF99" s="170"/>
      <c r="CG99" s="170"/>
      <c r="CH99" s="170"/>
      <c r="CI99" s="170"/>
      <c r="CJ99" s="170"/>
      <c r="CK99" s="170"/>
      <c r="CL99" s="170"/>
      <c r="CM99" s="170"/>
      <c r="CN99" s="170"/>
      <c r="CO99" s="170"/>
      <c r="CP99" s="170"/>
      <c r="CQ99" s="170"/>
      <c r="CR99" s="170"/>
      <c r="CS99" s="170"/>
      <c r="CT99" s="170"/>
      <c r="CU99" s="170"/>
      <c r="CV99" s="170"/>
      <c r="CW99" s="170"/>
      <c r="CX99" s="170"/>
      <c r="CY99" s="170"/>
      <c r="CZ99" s="170"/>
      <c r="DA99" s="170"/>
      <c r="DB99" s="170"/>
      <c r="DC99" s="170"/>
      <c r="DD99" s="170"/>
      <c r="DE99" s="170"/>
      <c r="DF99" s="170"/>
      <c r="DG99" s="170"/>
      <c r="DH99" s="170"/>
      <c r="DI99" s="170"/>
      <c r="DJ99" s="170"/>
      <c r="DK99" s="170"/>
      <c r="DL99" s="170"/>
      <c r="DM99" s="170"/>
      <c r="DN99" s="170"/>
      <c r="DO99" s="170"/>
      <c r="DP99" s="170"/>
      <c r="DQ99" s="170"/>
      <c r="DR99" s="170"/>
      <c r="DS99" s="170"/>
      <c r="DT99" s="170"/>
      <c r="DU99" s="170"/>
      <c r="DV99" s="170"/>
      <c r="DW99" s="170"/>
      <c r="DX99" s="170"/>
      <c r="DY99" s="170"/>
      <c r="DZ99" s="170"/>
      <c r="EA99" s="170"/>
      <c r="EB99" s="170"/>
      <c r="EC99" s="170"/>
      <c r="ED99" s="170"/>
      <c r="EE99" s="170"/>
      <c r="EF99" s="170"/>
      <c r="EG99" s="170"/>
      <c r="EH99" s="170"/>
      <c r="EI99" s="170"/>
      <c r="EJ99" s="170"/>
      <c r="EK99" s="170"/>
      <c r="EL99" s="170"/>
      <c r="EM99" s="170"/>
      <c r="EN99" s="170"/>
      <c r="EO99" s="170"/>
      <c r="EP99" s="170"/>
      <c r="EQ99" s="170"/>
      <c r="ER99" s="170"/>
      <c r="ES99" s="170"/>
      <c r="ET99" s="170"/>
      <c r="EU99" s="170"/>
      <c r="EV99" s="170"/>
      <c r="EW99" s="170"/>
      <c r="EX99" s="170"/>
      <c r="EY99" s="170"/>
      <c r="EZ99" s="170"/>
      <c r="FA99" s="170"/>
      <c r="FB99" s="170"/>
      <c r="FC99" s="170"/>
      <c r="FD99" s="170"/>
      <c r="FE99" s="170"/>
      <c r="FF99" s="170"/>
      <c r="FG99" s="170"/>
      <c r="FH99" s="170"/>
      <c r="FI99" s="170"/>
      <c r="FJ99" s="170"/>
      <c r="FK99" s="170"/>
      <c r="FL99" s="170"/>
      <c r="FM99" s="170"/>
      <c r="FN99" s="170"/>
      <c r="FO99" s="170"/>
      <c r="FP99" s="170"/>
      <c r="FQ99" s="170"/>
      <c r="FR99" s="170"/>
      <c r="FS99" s="170"/>
      <c r="FT99" s="170"/>
      <c r="FU99" s="170"/>
      <c r="FV99" s="170"/>
      <c r="FW99" s="170"/>
      <c r="FX99" s="170"/>
      <c r="FY99" s="170"/>
      <c r="FZ99" s="170"/>
      <c r="GA99" s="170"/>
      <c r="GB99" s="170"/>
      <c r="GC99" s="170"/>
      <c r="GD99" s="170"/>
      <c r="GE99" s="170"/>
      <c r="GF99" s="170"/>
      <c r="GG99" s="170"/>
      <c r="GH99" s="170"/>
      <c r="GI99" s="170"/>
      <c r="GJ99" s="170"/>
      <c r="GK99" s="170"/>
      <c r="GL99" s="170"/>
      <c r="GM99" s="170"/>
      <c r="GN99" s="170"/>
      <c r="GO99" s="170"/>
      <c r="GP99" s="170"/>
      <c r="GQ99" s="170"/>
      <c r="GR99" s="170"/>
      <c r="GS99" s="170"/>
      <c r="GT99" s="170"/>
      <c r="GU99" s="170"/>
      <c r="GV99" s="170"/>
      <c r="GW99" s="170"/>
      <c r="GX99" s="170"/>
      <c r="GY99" s="170"/>
      <c r="GZ99" s="170"/>
      <c r="HA99" s="170"/>
      <c r="HB99" s="170"/>
      <c r="HC99" s="170"/>
      <c r="HD99" s="170"/>
      <c r="HE99" s="170"/>
      <c r="HF99" s="170"/>
      <c r="HG99" s="170"/>
      <c r="HH99" s="170"/>
      <c r="HI99" s="170"/>
      <c r="HJ99" s="170"/>
      <c r="HK99" s="170"/>
      <c r="HL99" s="170"/>
      <c r="HM99" s="170"/>
      <c r="HN99" s="170"/>
      <c r="HO99" s="170"/>
      <c r="HP99" s="170"/>
      <c r="HQ99" s="170"/>
      <c r="HR99" s="170"/>
      <c r="HS99" s="170"/>
      <c r="HT99" s="170"/>
      <c r="HU99" s="170"/>
      <c r="HV99" s="170"/>
      <c r="HW99" s="170"/>
      <c r="HX99" s="170"/>
      <c r="HY99" s="170"/>
      <c r="HZ99" s="170"/>
      <c r="IA99" s="170"/>
      <c r="IB99" s="170"/>
      <c r="IC99" s="170"/>
      <c r="ID99" s="170"/>
      <c r="IE99" s="170"/>
      <c r="IF99" s="170"/>
      <c r="IG99" s="170"/>
      <c r="IH99" s="170"/>
      <c r="II99" s="170"/>
      <c r="IJ99" s="170"/>
      <c r="IK99" s="170"/>
      <c r="IL99" s="170"/>
      <c r="IM99" s="170"/>
      <c r="IN99" s="170"/>
    </row>
    <row r="100" spans="1:248" hidden="1">
      <c r="B100" s="46" t="s">
        <v>170</v>
      </c>
      <c r="C100" s="51">
        <v>1.55</v>
      </c>
      <c r="D100" s="51">
        <v>2.48</v>
      </c>
      <c r="E100" s="51">
        <v>3.64</v>
      </c>
      <c r="F100" s="51">
        <v>4.53</v>
      </c>
      <c r="G100" s="51">
        <v>4.99</v>
      </c>
      <c r="H100" s="51">
        <v>5.46</v>
      </c>
      <c r="I100" s="51">
        <v>5.19</v>
      </c>
      <c r="J100" s="51">
        <v>4.7300000000000004</v>
      </c>
      <c r="K100" s="51">
        <v>3.55</v>
      </c>
      <c r="L100" s="51">
        <v>2.2200000000000002</v>
      </c>
      <c r="M100" s="51">
        <v>1.41</v>
      </c>
      <c r="N100" s="51">
        <v>1.22</v>
      </c>
      <c r="V100" s="170"/>
      <c r="W100" s="170"/>
      <c r="X100" s="170"/>
    </row>
    <row r="101" spans="1:248" hidden="1">
      <c r="B101" s="46" t="s">
        <v>172</v>
      </c>
      <c r="C101" s="51">
        <v>1.73</v>
      </c>
      <c r="D101" s="51">
        <v>2.66</v>
      </c>
      <c r="E101" s="51">
        <v>3.68</v>
      </c>
      <c r="F101" s="51">
        <v>4.4800000000000004</v>
      </c>
      <c r="G101" s="51">
        <v>5.0999999999999996</v>
      </c>
      <c r="H101" s="51">
        <v>5.48</v>
      </c>
      <c r="I101" s="51">
        <v>5.58</v>
      </c>
      <c r="J101" s="51">
        <v>5.05</v>
      </c>
      <c r="K101" s="51">
        <v>4.07</v>
      </c>
      <c r="L101" s="51">
        <v>2.85</v>
      </c>
      <c r="M101" s="51">
        <v>1.78</v>
      </c>
      <c r="N101" s="51">
        <v>1.46</v>
      </c>
      <c r="V101" s="170"/>
      <c r="W101" s="170"/>
      <c r="X101" s="170"/>
    </row>
    <row r="102" spans="1:248" hidden="1">
      <c r="B102" s="46" t="s">
        <v>116</v>
      </c>
      <c r="C102" s="51">
        <v>1.1299999999999999</v>
      </c>
      <c r="D102" s="51">
        <v>2.0299999999999998</v>
      </c>
      <c r="E102" s="51">
        <v>3.13</v>
      </c>
      <c r="F102" s="51">
        <v>4.53</v>
      </c>
      <c r="G102" s="51">
        <v>5.37</v>
      </c>
      <c r="H102" s="51">
        <v>5.66</v>
      </c>
      <c r="I102" s="51">
        <v>5.97</v>
      </c>
      <c r="J102" s="51">
        <v>5.18</v>
      </c>
      <c r="K102" s="51">
        <v>3.99</v>
      </c>
      <c r="L102" s="51">
        <v>2.2000000000000002</v>
      </c>
      <c r="M102" s="51">
        <v>1.27</v>
      </c>
      <c r="N102" s="51">
        <v>0.92</v>
      </c>
      <c r="V102" s="170"/>
      <c r="W102" s="170"/>
      <c r="X102" s="170"/>
    </row>
    <row r="103" spans="1:248" hidden="1">
      <c r="B103" s="46" t="s">
        <v>60</v>
      </c>
      <c r="C103" s="51">
        <v>8.3800000000000008</v>
      </c>
      <c r="D103" s="51">
        <v>7.51</v>
      </c>
      <c r="E103" s="51">
        <v>6.23</v>
      </c>
      <c r="F103" s="51">
        <v>4.51</v>
      </c>
      <c r="G103" s="51">
        <v>2.95</v>
      </c>
      <c r="H103" s="51">
        <v>2.2599999999999998</v>
      </c>
      <c r="I103" s="51">
        <v>2.35</v>
      </c>
      <c r="J103" s="51">
        <v>3.16</v>
      </c>
      <c r="K103" s="51">
        <v>4.34</v>
      </c>
      <c r="L103" s="51">
        <v>6.07</v>
      </c>
      <c r="M103" s="51">
        <v>7.46</v>
      </c>
      <c r="N103" s="51">
        <v>8.43</v>
      </c>
      <c r="V103" s="170"/>
      <c r="W103" s="170"/>
      <c r="X103" s="170"/>
    </row>
    <row r="104" spans="1:248" hidden="1">
      <c r="B104" s="46" t="s">
        <v>29</v>
      </c>
      <c r="C104" s="51">
        <v>2.79</v>
      </c>
      <c r="D104" s="51">
        <v>3.69</v>
      </c>
      <c r="E104" s="51">
        <v>4.71</v>
      </c>
      <c r="F104" s="51">
        <v>5.75</v>
      </c>
      <c r="G104" s="51">
        <v>6.17</v>
      </c>
      <c r="H104" s="51">
        <v>5.72</v>
      </c>
      <c r="I104" s="51">
        <v>5.13</v>
      </c>
      <c r="J104" s="51">
        <v>4.67</v>
      </c>
      <c r="K104" s="51">
        <v>4.26</v>
      </c>
      <c r="L104" s="51">
        <v>3.67</v>
      </c>
      <c r="M104" s="51">
        <v>2.82</v>
      </c>
      <c r="N104" s="51">
        <v>2.4700000000000002</v>
      </c>
      <c r="V104" s="170"/>
      <c r="W104" s="170"/>
      <c r="X104" s="170"/>
    </row>
    <row r="105" spans="1:248" hidden="1">
      <c r="B105" s="46" t="s">
        <v>142</v>
      </c>
      <c r="C105" s="51">
        <v>5.65</v>
      </c>
      <c r="D105" s="51">
        <v>6.57</v>
      </c>
      <c r="E105" s="51">
        <v>6.88</v>
      </c>
      <c r="F105" s="51">
        <v>6.3</v>
      </c>
      <c r="G105" s="51">
        <v>5.41</v>
      </c>
      <c r="H105" s="51">
        <v>5.16</v>
      </c>
      <c r="I105" s="51">
        <v>5.53</v>
      </c>
      <c r="J105" s="51">
        <v>5.69</v>
      </c>
      <c r="K105" s="51">
        <v>5.77</v>
      </c>
      <c r="L105" s="51">
        <v>5.93</v>
      </c>
      <c r="M105" s="51">
        <v>5.27</v>
      </c>
      <c r="N105" s="51">
        <v>5.1100000000000003</v>
      </c>
      <c r="V105" s="170"/>
      <c r="W105" s="170"/>
      <c r="X105" s="170"/>
    </row>
    <row r="106" spans="1:248" hidden="1">
      <c r="B106" s="46" t="s">
        <v>145</v>
      </c>
      <c r="C106" s="51">
        <v>5.86</v>
      </c>
      <c r="D106" s="51">
        <v>6.41</v>
      </c>
      <c r="E106" s="51">
        <v>6.88</v>
      </c>
      <c r="F106" s="51">
        <v>6.56</v>
      </c>
      <c r="G106" s="51">
        <v>5.72</v>
      </c>
      <c r="H106" s="51">
        <v>4.32</v>
      </c>
      <c r="I106" s="51">
        <v>4.43</v>
      </c>
      <c r="J106" s="51">
        <v>5.03</v>
      </c>
      <c r="K106" s="51">
        <v>5.61</v>
      </c>
      <c r="L106" s="51">
        <v>5.01</v>
      </c>
      <c r="M106" s="51">
        <v>4.9800000000000004</v>
      </c>
      <c r="N106" s="51">
        <v>5.39</v>
      </c>
      <c r="V106" s="170"/>
      <c r="W106" s="170"/>
      <c r="X106" s="170"/>
    </row>
    <row r="107" spans="1:248" hidden="1">
      <c r="B107" s="46" t="s">
        <v>67</v>
      </c>
      <c r="C107" s="51">
        <v>1.39</v>
      </c>
      <c r="D107" s="51">
        <v>2.33</v>
      </c>
      <c r="E107" s="51">
        <v>3.4</v>
      </c>
      <c r="F107" s="51">
        <v>4.2300000000000004</v>
      </c>
      <c r="G107" s="51">
        <v>5.43</v>
      </c>
      <c r="H107" s="51">
        <v>5.81</v>
      </c>
      <c r="I107" s="51">
        <v>6.08</v>
      </c>
      <c r="J107" s="51">
        <v>5.26</v>
      </c>
      <c r="K107" s="51">
        <v>3.8</v>
      </c>
      <c r="L107" s="51">
        <v>2.33</v>
      </c>
      <c r="M107" s="51">
        <v>1.35</v>
      </c>
      <c r="N107" s="51">
        <v>1.1000000000000001</v>
      </c>
      <c r="V107" s="170"/>
      <c r="W107" s="170"/>
      <c r="X107" s="170"/>
    </row>
    <row r="108" spans="1:248" hidden="1">
      <c r="B108" s="46" t="s">
        <v>56</v>
      </c>
      <c r="C108" s="51">
        <v>0.95</v>
      </c>
      <c r="D108" s="51">
        <v>1.72</v>
      </c>
      <c r="E108" s="51">
        <v>2.59</v>
      </c>
      <c r="F108" s="51">
        <v>3.83</v>
      </c>
      <c r="G108" s="51">
        <v>4.72</v>
      </c>
      <c r="H108" s="51">
        <v>4.79</v>
      </c>
      <c r="I108" s="51">
        <v>4.84</v>
      </c>
      <c r="J108" s="51">
        <v>4.45</v>
      </c>
      <c r="K108" s="51">
        <v>2.91</v>
      </c>
      <c r="L108" s="51">
        <v>1.75</v>
      </c>
      <c r="M108" s="51">
        <v>0.91</v>
      </c>
      <c r="N108" s="51">
        <v>0.71</v>
      </c>
      <c r="V108" s="170"/>
      <c r="W108" s="170"/>
      <c r="X108" s="170"/>
    </row>
    <row r="109" spans="1:248" hidden="1">
      <c r="B109" s="46" t="s">
        <v>32</v>
      </c>
      <c r="C109" s="51">
        <v>0.62</v>
      </c>
      <c r="D109" s="51">
        <v>1.27</v>
      </c>
      <c r="E109" s="51">
        <v>2.5099999999999998</v>
      </c>
      <c r="F109" s="51">
        <v>3.96</v>
      </c>
      <c r="G109" s="51">
        <v>5.33</v>
      </c>
      <c r="H109" s="51">
        <v>5.51</v>
      </c>
      <c r="I109" s="51">
        <v>5.28</v>
      </c>
      <c r="J109" s="51">
        <v>4.46</v>
      </c>
      <c r="K109" s="51">
        <v>2.97</v>
      </c>
      <c r="L109" s="51">
        <v>1.61</v>
      </c>
      <c r="M109" s="51">
        <v>0.77</v>
      </c>
      <c r="N109" s="51">
        <v>0.52</v>
      </c>
      <c r="V109" s="170"/>
      <c r="W109" s="170"/>
      <c r="X109" s="170"/>
    </row>
    <row r="110" spans="1:248" hidden="1">
      <c r="B110" s="46" t="s">
        <v>203</v>
      </c>
      <c r="C110" s="51">
        <v>0</v>
      </c>
      <c r="D110" s="51">
        <v>0</v>
      </c>
      <c r="E110" s="51">
        <v>1.1100000000000001</v>
      </c>
      <c r="F110" s="51">
        <v>2.73</v>
      </c>
      <c r="G110" s="51">
        <v>3.93</v>
      </c>
      <c r="H110" s="51">
        <v>4.3499999999999996</v>
      </c>
      <c r="I110" s="51">
        <v>4.04</v>
      </c>
      <c r="J110" s="51">
        <v>2.82</v>
      </c>
      <c r="K110" s="51">
        <v>1.82</v>
      </c>
      <c r="L110" s="51">
        <v>0</v>
      </c>
      <c r="M110" s="51">
        <v>0</v>
      </c>
      <c r="N110" s="51">
        <v>0</v>
      </c>
      <c r="V110" s="170"/>
      <c r="W110" s="170"/>
      <c r="X110" s="170"/>
    </row>
    <row r="111" spans="1:248" hidden="1">
      <c r="B111" s="46" t="s">
        <v>204</v>
      </c>
      <c r="C111" s="51">
        <v>0.12</v>
      </c>
      <c r="D111" s="51">
        <v>0.57999999999999996</v>
      </c>
      <c r="E111" s="51">
        <v>1.49</v>
      </c>
      <c r="F111" s="51">
        <v>3.02</v>
      </c>
      <c r="G111" s="51">
        <v>4.49</v>
      </c>
      <c r="H111" s="51">
        <v>5.45</v>
      </c>
      <c r="I111" s="51">
        <v>5.26</v>
      </c>
      <c r="J111" s="51">
        <v>3.82</v>
      </c>
      <c r="K111" s="51">
        <v>2.4500000000000002</v>
      </c>
      <c r="L111" s="51">
        <v>1.07</v>
      </c>
      <c r="M111" s="51">
        <v>0.26</v>
      </c>
      <c r="N111" s="51">
        <v>0.04</v>
      </c>
      <c r="V111" s="170"/>
      <c r="W111" s="170"/>
      <c r="X111" s="170"/>
    </row>
    <row r="112" spans="1:248" hidden="1">
      <c r="B112" s="46" t="s">
        <v>205</v>
      </c>
      <c r="C112" s="51">
        <v>0</v>
      </c>
      <c r="D112" s="51">
        <v>0.92</v>
      </c>
      <c r="E112" s="51">
        <v>1.57</v>
      </c>
      <c r="F112" s="51">
        <v>2.92</v>
      </c>
      <c r="G112" s="51">
        <v>3.56</v>
      </c>
      <c r="H112" s="51">
        <v>3.99</v>
      </c>
      <c r="I112" s="51">
        <v>3.72</v>
      </c>
      <c r="J112" s="51">
        <v>3.19</v>
      </c>
      <c r="K112" s="51">
        <v>2.77</v>
      </c>
      <c r="L112" s="51">
        <v>1.31</v>
      </c>
      <c r="M112" s="51">
        <v>0</v>
      </c>
      <c r="N112" s="51">
        <v>0</v>
      </c>
      <c r="V112" s="170"/>
      <c r="W112" s="170"/>
      <c r="X112" s="170"/>
    </row>
    <row r="113" spans="2:24" hidden="1">
      <c r="B113" s="46" t="s">
        <v>122</v>
      </c>
      <c r="C113" s="51">
        <v>0.39</v>
      </c>
      <c r="D113" s="51">
        <v>1.1100000000000001</v>
      </c>
      <c r="E113" s="51">
        <v>2.4700000000000002</v>
      </c>
      <c r="F113" s="51">
        <v>4.0599999999999996</v>
      </c>
      <c r="G113" s="51">
        <v>5.62</v>
      </c>
      <c r="H113" s="51">
        <v>5.94</v>
      </c>
      <c r="I113" s="51">
        <v>5.65</v>
      </c>
      <c r="J113" s="51">
        <v>4.3899999999999997</v>
      </c>
      <c r="K113" s="51">
        <v>2.72</v>
      </c>
      <c r="L113" s="51">
        <v>1.3</v>
      </c>
      <c r="M113" s="51">
        <v>0.53</v>
      </c>
      <c r="N113" s="51">
        <v>0.26</v>
      </c>
      <c r="V113" s="170"/>
      <c r="W113" s="170"/>
      <c r="X113" s="170"/>
    </row>
    <row r="114" spans="2:24" hidden="1">
      <c r="B114" s="46" t="s">
        <v>125</v>
      </c>
      <c r="C114" s="51">
        <v>0.06</v>
      </c>
      <c r="D114" s="51">
        <v>0.57999999999999996</v>
      </c>
      <c r="E114" s="51">
        <v>1.91</v>
      </c>
      <c r="F114" s="51">
        <v>3.81</v>
      </c>
      <c r="G114" s="51">
        <v>4.99</v>
      </c>
      <c r="H114" s="51">
        <v>5.56</v>
      </c>
      <c r="I114" s="51">
        <v>5.08</v>
      </c>
      <c r="J114" s="51">
        <v>3.72</v>
      </c>
      <c r="K114" s="51">
        <v>2.15</v>
      </c>
      <c r="L114" s="51">
        <v>0.84</v>
      </c>
      <c r="M114" s="51">
        <v>0.16</v>
      </c>
      <c r="N114" s="51">
        <v>0</v>
      </c>
      <c r="V114" s="170"/>
      <c r="W114" s="170"/>
      <c r="X114" s="170"/>
    </row>
    <row r="115" spans="2:24" hidden="1">
      <c r="B115" s="46" t="s">
        <v>72</v>
      </c>
      <c r="C115" s="51">
        <v>0.34</v>
      </c>
      <c r="D115" s="51">
        <v>1.1000000000000001</v>
      </c>
      <c r="E115" s="51">
        <v>2.46</v>
      </c>
      <c r="F115" s="51">
        <v>3.99</v>
      </c>
      <c r="G115" s="51">
        <v>5.35</v>
      </c>
      <c r="H115" s="51">
        <v>5.57</v>
      </c>
      <c r="I115" s="51">
        <v>5.33</v>
      </c>
      <c r="J115" s="51">
        <v>4.08</v>
      </c>
      <c r="K115" s="51">
        <v>2.59</v>
      </c>
      <c r="L115" s="51">
        <v>1.19</v>
      </c>
      <c r="M115" s="51">
        <v>0.5</v>
      </c>
      <c r="N115" s="51">
        <v>0.2</v>
      </c>
      <c r="V115" s="170"/>
      <c r="W115" s="170"/>
      <c r="X115" s="170"/>
    </row>
    <row r="116" spans="2:24" hidden="1">
      <c r="B116" s="46" t="s">
        <v>70</v>
      </c>
      <c r="C116" s="51">
        <v>1.36</v>
      </c>
      <c r="D116" s="51">
        <v>2.15</v>
      </c>
      <c r="E116" s="51">
        <v>3.39</v>
      </c>
      <c r="F116" s="51">
        <v>4.22</v>
      </c>
      <c r="G116" s="51">
        <v>5.15</v>
      </c>
      <c r="H116" s="51">
        <v>5.87</v>
      </c>
      <c r="I116" s="51">
        <v>6.17</v>
      </c>
      <c r="J116" s="51">
        <v>5.28</v>
      </c>
      <c r="K116" s="51">
        <v>3.91</v>
      </c>
      <c r="L116" s="51">
        <v>2.33</v>
      </c>
      <c r="M116" s="51">
        <v>1.44</v>
      </c>
      <c r="N116" s="51">
        <v>1.1100000000000001</v>
      </c>
      <c r="V116" s="170"/>
      <c r="W116" s="170"/>
      <c r="X116" s="170"/>
    </row>
    <row r="117" spans="2:24" hidden="1">
      <c r="B117" s="46" t="s">
        <v>131</v>
      </c>
      <c r="C117" s="51">
        <v>1.96</v>
      </c>
      <c r="D117" s="51">
        <v>2.94</v>
      </c>
      <c r="E117" s="51">
        <v>4.25</v>
      </c>
      <c r="F117" s="51">
        <v>5.09</v>
      </c>
      <c r="G117" s="51">
        <v>6.07</v>
      </c>
      <c r="H117" s="51">
        <v>7.02</v>
      </c>
      <c r="I117" s="51">
        <v>7.09</v>
      </c>
      <c r="J117" s="51">
        <v>6</v>
      </c>
      <c r="K117" s="51">
        <v>4.5999999999999996</v>
      </c>
      <c r="L117" s="51">
        <v>2.91</v>
      </c>
      <c r="M117" s="51">
        <v>2</v>
      </c>
      <c r="N117" s="51">
        <v>1.63</v>
      </c>
      <c r="V117" s="170"/>
      <c r="W117" s="170"/>
      <c r="X117" s="170"/>
    </row>
    <row r="118" spans="2:24" hidden="1">
      <c r="B118" s="46" t="s">
        <v>55</v>
      </c>
      <c r="C118" s="51">
        <v>0.95</v>
      </c>
      <c r="D118" s="51">
        <v>1.62</v>
      </c>
      <c r="E118" s="51">
        <v>2.64</v>
      </c>
      <c r="F118" s="51">
        <v>3.87</v>
      </c>
      <c r="G118" s="51">
        <v>4.93</v>
      </c>
      <c r="H118" s="51">
        <v>5.19</v>
      </c>
      <c r="I118" s="51">
        <v>5.21</v>
      </c>
      <c r="J118" s="51">
        <v>4.58</v>
      </c>
      <c r="K118" s="51">
        <v>3.18</v>
      </c>
      <c r="L118" s="51">
        <v>1.91</v>
      </c>
      <c r="M118" s="51">
        <v>1.1100000000000001</v>
      </c>
      <c r="N118" s="51">
        <v>0.73</v>
      </c>
      <c r="V118" s="170"/>
      <c r="W118" s="170"/>
      <c r="X118" s="170"/>
    </row>
    <row r="119" spans="2:24" hidden="1">
      <c r="B119" s="46" t="s">
        <v>68</v>
      </c>
      <c r="C119" s="51">
        <v>0.79</v>
      </c>
      <c r="D119" s="51">
        <v>1.48</v>
      </c>
      <c r="E119" s="51">
        <v>2.41</v>
      </c>
      <c r="F119" s="51">
        <v>3.75</v>
      </c>
      <c r="G119" s="51">
        <v>4.7699999999999996</v>
      </c>
      <c r="H119" s="51">
        <v>4.8</v>
      </c>
      <c r="I119" s="51">
        <v>4.7699999999999996</v>
      </c>
      <c r="J119" s="51">
        <v>4.18</v>
      </c>
      <c r="K119" s="51">
        <v>2.76</v>
      </c>
      <c r="L119" s="51">
        <v>1.61</v>
      </c>
      <c r="M119" s="51">
        <v>0.85</v>
      </c>
      <c r="N119" s="51">
        <v>0.61</v>
      </c>
      <c r="V119" s="170"/>
      <c r="W119" s="170"/>
      <c r="X119" s="170"/>
    </row>
    <row r="120" spans="2:24" hidden="1">
      <c r="B120" s="46" t="s">
        <v>33</v>
      </c>
      <c r="C120" s="51">
        <v>0.89</v>
      </c>
      <c r="D120" s="51">
        <v>1.59</v>
      </c>
      <c r="E120" s="51">
        <v>2.5299999999999998</v>
      </c>
      <c r="F120" s="51">
        <v>3.79</v>
      </c>
      <c r="G120" s="51">
        <v>4.79</v>
      </c>
      <c r="H120" s="51">
        <v>4.8600000000000003</v>
      </c>
      <c r="I120" s="51">
        <v>4.82</v>
      </c>
      <c r="J120" s="51">
        <v>4.29</v>
      </c>
      <c r="K120" s="51">
        <v>2.85</v>
      </c>
      <c r="L120" s="51">
        <v>1.72</v>
      </c>
      <c r="M120" s="51">
        <v>0.93</v>
      </c>
      <c r="N120" s="51">
        <v>0.67</v>
      </c>
      <c r="V120" s="170"/>
      <c r="W120" s="170"/>
      <c r="X120" s="170"/>
    </row>
    <row r="121" spans="2:24" hidden="1">
      <c r="B121" s="46" t="s">
        <v>34</v>
      </c>
      <c r="C121" s="51">
        <v>0.82</v>
      </c>
      <c r="D121" s="51">
        <v>1.5</v>
      </c>
      <c r="E121" s="51">
        <v>2.4500000000000002</v>
      </c>
      <c r="F121" s="51">
        <v>3.67</v>
      </c>
      <c r="G121" s="51">
        <v>4.78</v>
      </c>
      <c r="H121" s="51">
        <v>4.83</v>
      </c>
      <c r="I121" s="51">
        <v>4.76</v>
      </c>
      <c r="J121" s="51">
        <v>4.24</v>
      </c>
      <c r="K121" s="51">
        <v>2.84</v>
      </c>
      <c r="L121" s="51">
        <v>1.64</v>
      </c>
      <c r="M121" s="51">
        <v>0.93</v>
      </c>
      <c r="N121" s="51">
        <v>0.63</v>
      </c>
      <c r="V121" s="170"/>
      <c r="W121" s="170"/>
      <c r="X121" s="170"/>
    </row>
    <row r="122" spans="2:24" hidden="1">
      <c r="B122" s="46" t="s">
        <v>37</v>
      </c>
      <c r="C122" s="51">
        <v>0.81</v>
      </c>
      <c r="D122" s="51">
        <v>1.52</v>
      </c>
      <c r="E122" s="51">
        <v>2.4</v>
      </c>
      <c r="F122" s="51">
        <v>3.65</v>
      </c>
      <c r="G122" s="51">
        <v>4.57</v>
      </c>
      <c r="H122" s="51">
        <v>4.74</v>
      </c>
      <c r="I122" s="51">
        <v>4.67</v>
      </c>
      <c r="J122" s="51">
        <v>4.1399999999999997</v>
      </c>
      <c r="K122" s="51">
        <v>2.79</v>
      </c>
      <c r="L122" s="51">
        <v>1.63</v>
      </c>
      <c r="M122" s="51">
        <v>0.88</v>
      </c>
      <c r="N122" s="51">
        <v>0.63</v>
      </c>
      <c r="V122" s="170"/>
      <c r="W122" s="170"/>
      <c r="X122" s="170"/>
    </row>
    <row r="123" spans="2:24" hidden="1">
      <c r="B123" s="46" t="s">
        <v>39</v>
      </c>
      <c r="C123" s="51">
        <v>0.68</v>
      </c>
      <c r="D123" s="51">
        <v>1.32</v>
      </c>
      <c r="E123" s="51">
        <v>2.34</v>
      </c>
      <c r="F123" s="51">
        <v>3.62</v>
      </c>
      <c r="G123" s="51">
        <v>4.74</v>
      </c>
      <c r="H123" s="51">
        <v>4.7699999999999996</v>
      </c>
      <c r="I123" s="51">
        <v>4.66</v>
      </c>
      <c r="J123" s="51">
        <v>4.0599999999999996</v>
      </c>
      <c r="K123" s="51">
        <v>2.73</v>
      </c>
      <c r="L123" s="51">
        <v>1.55</v>
      </c>
      <c r="M123" s="51">
        <v>0.8</v>
      </c>
      <c r="N123" s="51">
        <v>0.53</v>
      </c>
      <c r="V123" s="170"/>
      <c r="W123" s="170"/>
      <c r="X123" s="170"/>
    </row>
    <row r="124" spans="2:24" hidden="1">
      <c r="B124" s="46" t="s">
        <v>40</v>
      </c>
      <c r="C124" s="51">
        <v>0.82</v>
      </c>
      <c r="D124" s="51">
        <v>1.5</v>
      </c>
      <c r="E124" s="51">
        <v>2.4500000000000002</v>
      </c>
      <c r="F124" s="51">
        <v>3.67</v>
      </c>
      <c r="G124" s="51">
        <v>4.78</v>
      </c>
      <c r="H124" s="51">
        <v>4.83</v>
      </c>
      <c r="I124" s="51">
        <v>4.76</v>
      </c>
      <c r="J124" s="51">
        <v>4.24</v>
      </c>
      <c r="K124" s="51">
        <v>2.84</v>
      </c>
      <c r="L124" s="51">
        <v>1.64</v>
      </c>
      <c r="M124" s="51">
        <v>0.93</v>
      </c>
      <c r="N124" s="51">
        <v>0.63</v>
      </c>
      <c r="V124" s="170"/>
      <c r="W124" s="170"/>
      <c r="X124" s="170"/>
    </row>
    <row r="125" spans="2:24" hidden="1">
      <c r="B125" s="46" t="s">
        <v>41</v>
      </c>
      <c r="C125" s="51">
        <v>1.2</v>
      </c>
      <c r="D125" s="51">
        <v>2.04</v>
      </c>
      <c r="E125" s="51">
        <v>3.02</v>
      </c>
      <c r="F125" s="51">
        <v>4.2300000000000004</v>
      </c>
      <c r="G125" s="51">
        <v>5.23</v>
      </c>
      <c r="H125" s="51">
        <v>5.2</v>
      </c>
      <c r="I125" s="51">
        <v>5.23</v>
      </c>
      <c r="J125" s="51">
        <v>4.67</v>
      </c>
      <c r="K125" s="51">
        <v>3.31</v>
      </c>
      <c r="L125" s="51">
        <v>2.0099999999999998</v>
      </c>
      <c r="M125" s="51">
        <v>1.17</v>
      </c>
      <c r="N125" s="51">
        <v>0.91</v>
      </c>
      <c r="V125" s="170"/>
      <c r="W125" s="170"/>
      <c r="X125" s="170"/>
    </row>
    <row r="126" spans="2:24" hidden="1">
      <c r="B126" s="46" t="s">
        <v>42</v>
      </c>
      <c r="C126" s="51">
        <v>1.1399999999999999</v>
      </c>
      <c r="D126" s="51">
        <v>1.92</v>
      </c>
      <c r="E126" s="51">
        <v>2.94</v>
      </c>
      <c r="F126" s="51">
        <v>4.03</v>
      </c>
      <c r="G126" s="51">
        <v>4.96</v>
      </c>
      <c r="H126" s="51">
        <v>5.34</v>
      </c>
      <c r="I126" s="51">
        <v>5.36</v>
      </c>
      <c r="J126" s="51">
        <v>4.6500000000000004</v>
      </c>
      <c r="K126" s="51">
        <v>3.32</v>
      </c>
      <c r="L126" s="51">
        <v>1.96</v>
      </c>
      <c r="M126" s="51">
        <v>1.17</v>
      </c>
      <c r="N126" s="51">
        <v>0.88</v>
      </c>
      <c r="V126" s="170"/>
      <c r="W126" s="170"/>
      <c r="X126" s="170"/>
    </row>
    <row r="127" spans="2:24" hidden="1">
      <c r="B127" s="46" t="s">
        <v>71</v>
      </c>
      <c r="C127" s="51">
        <v>1.89</v>
      </c>
      <c r="D127" s="51">
        <v>2.61</v>
      </c>
      <c r="E127" s="51">
        <v>3.64</v>
      </c>
      <c r="F127" s="51">
        <v>5.15</v>
      </c>
      <c r="G127" s="51">
        <v>6.05</v>
      </c>
      <c r="H127" s="51">
        <v>7.21</v>
      </c>
      <c r="I127" s="51">
        <v>7.07</v>
      </c>
      <c r="J127" s="51">
        <v>6.36</v>
      </c>
      <c r="K127" s="51">
        <v>4.9400000000000004</v>
      </c>
      <c r="L127" s="51">
        <v>3.1</v>
      </c>
      <c r="M127" s="51">
        <v>1.94</v>
      </c>
      <c r="N127" s="51">
        <v>1.51</v>
      </c>
      <c r="V127" s="170"/>
      <c r="W127" s="170"/>
      <c r="X127" s="170"/>
    </row>
    <row r="128" spans="2:24" hidden="1">
      <c r="B128" s="46" t="s">
        <v>109</v>
      </c>
      <c r="C128" s="51">
        <v>1.85</v>
      </c>
      <c r="D128" s="51">
        <v>2.64</v>
      </c>
      <c r="E128" s="51">
        <v>3.72</v>
      </c>
      <c r="F128" s="51">
        <v>4.8499999999999996</v>
      </c>
      <c r="G128" s="51">
        <v>5.91</v>
      </c>
      <c r="H128" s="51">
        <v>6.84</v>
      </c>
      <c r="I128" s="51">
        <v>6.76</v>
      </c>
      <c r="J128" s="51">
        <v>6.06</v>
      </c>
      <c r="K128" s="51">
        <v>4.72</v>
      </c>
      <c r="L128" s="51">
        <v>3</v>
      </c>
      <c r="M128" s="51">
        <v>1.9</v>
      </c>
      <c r="N128" s="51">
        <v>1.52</v>
      </c>
      <c r="V128" s="170"/>
      <c r="W128" s="170"/>
      <c r="X128" s="170"/>
    </row>
    <row r="129" spans="2:24" hidden="1">
      <c r="B129" s="46" t="s">
        <v>114</v>
      </c>
      <c r="C129" s="51">
        <v>1.23</v>
      </c>
      <c r="D129" s="51">
        <v>2.14</v>
      </c>
      <c r="E129" s="51">
        <v>3.1</v>
      </c>
      <c r="F129" s="51">
        <v>4.26</v>
      </c>
      <c r="G129" s="51">
        <v>5.32</v>
      </c>
      <c r="H129" s="51">
        <v>5.63</v>
      </c>
      <c r="I129" s="51">
        <v>5.62</v>
      </c>
      <c r="J129" s="51">
        <v>5.03</v>
      </c>
      <c r="K129" s="51">
        <v>3.64</v>
      </c>
      <c r="L129" s="51">
        <v>2.2799999999999998</v>
      </c>
      <c r="M129" s="51">
        <v>1.28</v>
      </c>
      <c r="N129" s="51">
        <v>0.98</v>
      </c>
      <c r="V129" s="170"/>
      <c r="W129" s="170"/>
      <c r="X129" s="170"/>
    </row>
    <row r="130" spans="2:24" hidden="1">
      <c r="B130" s="46" t="s">
        <v>124</v>
      </c>
      <c r="C130" s="51">
        <v>0.12</v>
      </c>
      <c r="D130" s="51">
        <v>0.56999999999999995</v>
      </c>
      <c r="E130" s="51">
        <v>1.43</v>
      </c>
      <c r="F130" s="51">
        <v>2.89</v>
      </c>
      <c r="G130" s="51">
        <v>4.3099999999999996</v>
      </c>
      <c r="H130" s="51">
        <v>4.8099999999999996</v>
      </c>
      <c r="I130" s="51">
        <v>4.26</v>
      </c>
      <c r="J130" s="51">
        <v>3.36</v>
      </c>
      <c r="K130" s="51">
        <v>2.12</v>
      </c>
      <c r="L130" s="51">
        <v>0.94</v>
      </c>
      <c r="M130" s="51">
        <v>0.24</v>
      </c>
      <c r="N130" s="51">
        <v>0.03</v>
      </c>
      <c r="V130" s="170"/>
      <c r="W130" s="170"/>
      <c r="X130" s="170"/>
    </row>
    <row r="131" spans="2:24" hidden="1">
      <c r="B131" s="46" t="s">
        <v>550</v>
      </c>
      <c r="C131" s="51">
        <v>5.7</v>
      </c>
      <c r="D131" s="51">
        <v>6.36</v>
      </c>
      <c r="E131" s="51">
        <v>7.09</v>
      </c>
      <c r="F131" s="51">
        <v>7.37</v>
      </c>
      <c r="G131" s="51">
        <v>7.27</v>
      </c>
      <c r="H131" s="51">
        <v>5.67</v>
      </c>
      <c r="I131" s="51">
        <v>5.0999999999999996</v>
      </c>
      <c r="J131" s="51">
        <v>5.26</v>
      </c>
      <c r="K131" s="51">
        <v>5.62</v>
      </c>
      <c r="L131" s="51">
        <v>5.68</v>
      </c>
      <c r="M131" s="51">
        <v>5.39</v>
      </c>
      <c r="N131" s="51">
        <v>5.13</v>
      </c>
      <c r="V131" s="170"/>
      <c r="W131" s="170"/>
      <c r="X131" s="170"/>
    </row>
    <row r="132" spans="2:24" hidden="1">
      <c r="B132" s="46" t="s">
        <v>137</v>
      </c>
      <c r="C132" s="51">
        <v>3.04</v>
      </c>
      <c r="D132" s="51">
        <v>3.94</v>
      </c>
      <c r="E132" s="51">
        <v>5.37</v>
      </c>
      <c r="F132" s="51">
        <v>6.69</v>
      </c>
      <c r="G132" s="51">
        <v>7.75</v>
      </c>
      <c r="H132" s="51">
        <v>8.44</v>
      </c>
      <c r="I132" s="51">
        <v>8.09</v>
      </c>
      <c r="J132" s="51">
        <v>7.48</v>
      </c>
      <c r="K132" s="51">
        <v>6.45</v>
      </c>
      <c r="L132" s="51">
        <v>4.9000000000000004</v>
      </c>
      <c r="M132" s="51">
        <v>3.56</v>
      </c>
      <c r="N132" s="51">
        <v>2.84</v>
      </c>
      <c r="V132" s="170"/>
      <c r="W132" s="170"/>
      <c r="X132" s="170"/>
    </row>
    <row r="133" spans="2:24" hidden="1">
      <c r="B133" s="46" t="s">
        <v>47</v>
      </c>
      <c r="C133" s="51">
        <v>1.59</v>
      </c>
      <c r="D133" s="51">
        <v>2.54</v>
      </c>
      <c r="E133" s="51">
        <v>3.77</v>
      </c>
      <c r="F133" s="51">
        <v>4.38</v>
      </c>
      <c r="G133" s="51">
        <v>5.27</v>
      </c>
      <c r="H133" s="51">
        <v>6.03</v>
      </c>
      <c r="I133" s="51">
        <v>6.2</v>
      </c>
      <c r="J133" s="51">
        <v>5.27</v>
      </c>
      <c r="K133" s="51">
        <v>3.84</v>
      </c>
      <c r="L133" s="51">
        <v>2.4</v>
      </c>
      <c r="M133" s="51">
        <v>1.59</v>
      </c>
      <c r="N133" s="51">
        <v>1.28</v>
      </c>
      <c r="V133" s="170"/>
      <c r="W133" s="170"/>
      <c r="X133" s="170"/>
    </row>
    <row r="134" spans="2:24" hidden="1">
      <c r="B134" s="46" t="s">
        <v>106</v>
      </c>
      <c r="C134" s="51">
        <v>2.27</v>
      </c>
      <c r="D134" s="51">
        <v>3.29</v>
      </c>
      <c r="E134" s="51">
        <v>4.6900000000000004</v>
      </c>
      <c r="F134" s="51">
        <v>5.91</v>
      </c>
      <c r="G134" s="51">
        <v>7.05</v>
      </c>
      <c r="H134" s="51">
        <v>7.78</v>
      </c>
      <c r="I134" s="51">
        <v>7.93</v>
      </c>
      <c r="J134" s="51">
        <v>6.94</v>
      </c>
      <c r="K134" s="51">
        <v>5.33</v>
      </c>
      <c r="L134" s="51">
        <v>3.85</v>
      </c>
      <c r="M134" s="51">
        <v>2.46</v>
      </c>
      <c r="N134" s="51">
        <v>1.93</v>
      </c>
      <c r="V134" s="170"/>
      <c r="W134" s="170"/>
      <c r="X134" s="170"/>
    </row>
    <row r="135" spans="2:24" hidden="1">
      <c r="B135" s="46" t="s">
        <v>58</v>
      </c>
      <c r="C135" s="51">
        <v>1.8</v>
      </c>
      <c r="D135" s="51">
        <v>2.71</v>
      </c>
      <c r="E135" s="51">
        <v>3.85</v>
      </c>
      <c r="F135" s="51">
        <v>4.62</v>
      </c>
      <c r="G135" s="51">
        <v>5.82</v>
      </c>
      <c r="H135" s="51">
        <v>6.53</v>
      </c>
      <c r="I135" s="51">
        <v>6.91</v>
      </c>
      <c r="J135" s="51">
        <v>5.99</v>
      </c>
      <c r="K135" s="51">
        <v>4.47</v>
      </c>
      <c r="L135" s="51">
        <v>2.91</v>
      </c>
      <c r="M135" s="51">
        <v>1.84</v>
      </c>
      <c r="N135" s="51">
        <v>1.48</v>
      </c>
      <c r="V135" s="170"/>
      <c r="W135" s="170"/>
      <c r="X135" s="170"/>
    </row>
    <row r="136" spans="2:24" hidden="1">
      <c r="B136" s="46" t="s">
        <v>63</v>
      </c>
      <c r="C136" s="51">
        <v>3</v>
      </c>
      <c r="D136" s="51">
        <v>3.72</v>
      </c>
      <c r="E136" s="51">
        <v>4.17</v>
      </c>
      <c r="F136" s="51">
        <v>4.88</v>
      </c>
      <c r="G136" s="51">
        <v>4.8499999999999996</v>
      </c>
      <c r="H136" s="51">
        <v>4.21</v>
      </c>
      <c r="I136" s="51">
        <v>4.43</v>
      </c>
      <c r="J136" s="51">
        <v>4.47</v>
      </c>
      <c r="K136" s="51">
        <v>3.31</v>
      </c>
      <c r="L136" s="51">
        <v>3.05</v>
      </c>
      <c r="M136" s="51">
        <v>2.77</v>
      </c>
      <c r="N136" s="51">
        <v>2.72</v>
      </c>
      <c r="V136" s="170"/>
      <c r="W136" s="170"/>
      <c r="X136" s="170"/>
    </row>
    <row r="137" spans="2:24" hidden="1">
      <c r="B137" s="46" t="s">
        <v>133</v>
      </c>
      <c r="C137" s="51">
        <v>6.49</v>
      </c>
      <c r="D137" s="51">
        <v>6.98</v>
      </c>
      <c r="E137" s="51">
        <v>6.68</v>
      </c>
      <c r="F137" s="51">
        <v>6.2</v>
      </c>
      <c r="G137" s="51">
        <v>6.2</v>
      </c>
      <c r="H137" s="51">
        <v>5.94</v>
      </c>
      <c r="I137" s="51">
        <v>5.89</v>
      </c>
      <c r="J137" s="51">
        <v>6.26</v>
      </c>
      <c r="K137" s="51">
        <v>6.9</v>
      </c>
      <c r="L137" s="51">
        <v>6.29</v>
      </c>
      <c r="M137" s="51">
        <v>5.65</v>
      </c>
      <c r="N137" s="51">
        <v>6.05</v>
      </c>
      <c r="V137" s="170"/>
      <c r="W137" s="170"/>
      <c r="X137" s="170"/>
    </row>
    <row r="138" spans="2:24" hidden="1">
      <c r="B138" s="46" t="s">
        <v>120</v>
      </c>
      <c r="C138" s="51">
        <v>0.55000000000000004</v>
      </c>
      <c r="D138" s="51">
        <v>1.26</v>
      </c>
      <c r="E138" s="51">
        <v>2.59</v>
      </c>
      <c r="F138" s="51">
        <v>3.97</v>
      </c>
      <c r="G138" s="51">
        <v>5.51</v>
      </c>
      <c r="H138" s="51">
        <v>5.78</v>
      </c>
      <c r="I138" s="51">
        <v>5.46</v>
      </c>
      <c r="J138" s="51">
        <v>4.5</v>
      </c>
      <c r="K138" s="51">
        <v>2.84</v>
      </c>
      <c r="L138" s="51">
        <v>1.45</v>
      </c>
      <c r="M138" s="51">
        <v>0.66</v>
      </c>
      <c r="N138" s="51">
        <v>0.36</v>
      </c>
      <c r="V138" s="170"/>
      <c r="W138" s="170"/>
      <c r="X138" s="170"/>
    </row>
    <row r="139" spans="2:24" hidden="1">
      <c r="B139" s="46" t="s">
        <v>119</v>
      </c>
      <c r="C139" s="51">
        <v>0.75</v>
      </c>
      <c r="D139" s="51">
        <v>1.51</v>
      </c>
      <c r="E139" s="51">
        <v>2.63</v>
      </c>
      <c r="F139" s="51">
        <v>3.71</v>
      </c>
      <c r="G139" s="51">
        <v>4.95</v>
      </c>
      <c r="H139" s="51">
        <v>4.99</v>
      </c>
      <c r="I139" s="51">
        <v>4.75</v>
      </c>
      <c r="J139" s="51">
        <v>4.26</v>
      </c>
      <c r="K139" s="51">
        <v>2.72</v>
      </c>
      <c r="L139" s="51">
        <v>1.44</v>
      </c>
      <c r="M139" s="51">
        <v>0.75</v>
      </c>
      <c r="N139" s="51">
        <v>0.54</v>
      </c>
      <c r="V139" s="170"/>
      <c r="W139" s="170"/>
      <c r="X139" s="170"/>
    </row>
    <row r="140" spans="2:24" hidden="1">
      <c r="B140" s="46" t="s">
        <v>134</v>
      </c>
      <c r="C140" s="51">
        <v>4.33</v>
      </c>
      <c r="D140" s="51">
        <v>5.1100000000000003</v>
      </c>
      <c r="E140" s="51">
        <v>5.24</v>
      </c>
      <c r="F140" s="51">
        <v>5.36</v>
      </c>
      <c r="G140" s="51">
        <v>5.05</v>
      </c>
      <c r="H140" s="51">
        <v>4.91</v>
      </c>
      <c r="I140" s="51">
        <v>4.88</v>
      </c>
      <c r="J140" s="51">
        <v>4.9800000000000004</v>
      </c>
      <c r="K140" s="51">
        <v>5.0199999999999996</v>
      </c>
      <c r="L140" s="51">
        <v>4.83</v>
      </c>
      <c r="M140" s="51">
        <v>4.26</v>
      </c>
      <c r="N140" s="51">
        <v>3.81</v>
      </c>
      <c r="V140" s="170"/>
      <c r="W140" s="170"/>
      <c r="X140" s="170"/>
    </row>
    <row r="141" spans="2:24" hidden="1">
      <c r="B141" s="46" t="s">
        <v>102</v>
      </c>
      <c r="C141" s="51">
        <v>4.7300000000000004</v>
      </c>
      <c r="D141" s="51">
        <v>5.5</v>
      </c>
      <c r="E141" s="51">
        <v>6.2</v>
      </c>
      <c r="F141" s="51">
        <v>6.21</v>
      </c>
      <c r="G141" s="51">
        <v>6.16</v>
      </c>
      <c r="H141" s="51">
        <v>5.64</v>
      </c>
      <c r="I141" s="51">
        <v>5.67</v>
      </c>
      <c r="J141" s="51">
        <v>5.57</v>
      </c>
      <c r="K141" s="51">
        <v>4.95</v>
      </c>
      <c r="L141" s="51">
        <v>4.9400000000000004</v>
      </c>
      <c r="M141" s="51">
        <v>4.79</v>
      </c>
      <c r="N141" s="51">
        <v>4.49</v>
      </c>
      <c r="V141" s="170"/>
      <c r="W141" s="170"/>
      <c r="X141" s="170"/>
    </row>
    <row r="142" spans="2:24" hidden="1">
      <c r="B142" s="46" t="s">
        <v>102</v>
      </c>
      <c r="C142" s="51">
        <v>4.8099999999999996</v>
      </c>
      <c r="D142" s="51">
        <v>5.45</v>
      </c>
      <c r="E142" s="51">
        <v>5.9</v>
      </c>
      <c r="F142" s="51">
        <v>6.07</v>
      </c>
      <c r="G142" s="51">
        <v>5.49</v>
      </c>
      <c r="H142" s="51">
        <v>4.7</v>
      </c>
      <c r="I142" s="51">
        <v>4.26</v>
      </c>
      <c r="J142" s="51">
        <v>4.25</v>
      </c>
      <c r="K142" s="51">
        <v>4.4400000000000004</v>
      </c>
      <c r="L142" s="51">
        <v>4.4400000000000004</v>
      </c>
      <c r="M142" s="51">
        <v>4.3499999999999996</v>
      </c>
      <c r="N142" s="51">
        <v>4.41</v>
      </c>
      <c r="V142" s="170"/>
      <c r="W142" s="170"/>
      <c r="X142" s="170"/>
    </row>
    <row r="143" spans="2:24" hidden="1">
      <c r="B143" s="46" t="s">
        <v>103</v>
      </c>
      <c r="C143" s="51">
        <v>3.24</v>
      </c>
      <c r="D143" s="51">
        <v>3.95</v>
      </c>
      <c r="E143" s="51">
        <v>5.08</v>
      </c>
      <c r="F143" s="51">
        <v>5.54</v>
      </c>
      <c r="G143" s="51">
        <v>5.99</v>
      </c>
      <c r="H143" s="51">
        <v>6.37</v>
      </c>
      <c r="I143" s="51">
        <v>6.45</v>
      </c>
      <c r="J143" s="51">
        <v>6.04</v>
      </c>
      <c r="K143" s="51">
        <v>5.08</v>
      </c>
      <c r="L143" s="51">
        <v>4.41</v>
      </c>
      <c r="M143" s="51">
        <v>3.63</v>
      </c>
      <c r="N143" s="51">
        <v>3.1</v>
      </c>
      <c r="V143" s="170"/>
      <c r="W143" s="170"/>
      <c r="X143" s="170"/>
    </row>
    <row r="144" spans="2:24" hidden="1">
      <c r="B144" s="46" t="s">
        <v>28</v>
      </c>
      <c r="C144" s="51">
        <v>0.77</v>
      </c>
      <c r="D144" s="51">
        <v>1.46</v>
      </c>
      <c r="E144" s="51">
        <v>2.62</v>
      </c>
      <c r="F144" s="51">
        <v>4.1100000000000003</v>
      </c>
      <c r="G144" s="51">
        <v>5.5</v>
      </c>
      <c r="H144" s="51">
        <v>5.55</v>
      </c>
      <c r="I144" s="51">
        <v>5.42</v>
      </c>
      <c r="J144" s="51">
        <v>4.71</v>
      </c>
      <c r="K144" s="51">
        <v>3.01</v>
      </c>
      <c r="L144" s="51">
        <v>1.66</v>
      </c>
      <c r="M144" s="51">
        <v>0.86</v>
      </c>
      <c r="N144" s="51">
        <v>0.54</v>
      </c>
      <c r="V144" s="170"/>
      <c r="W144" s="170"/>
      <c r="X144" s="170"/>
    </row>
    <row r="145" spans="2:24" hidden="1">
      <c r="B145" s="46" t="s">
        <v>59</v>
      </c>
      <c r="C145" s="51">
        <v>0.77</v>
      </c>
      <c r="D145" s="51">
        <v>1.46</v>
      </c>
      <c r="E145" s="51">
        <v>2.62</v>
      </c>
      <c r="F145" s="51">
        <v>4.1100000000000003</v>
      </c>
      <c r="G145" s="51">
        <v>5.5</v>
      </c>
      <c r="H145" s="51">
        <v>5.55</v>
      </c>
      <c r="I145" s="51">
        <v>5.42</v>
      </c>
      <c r="J145" s="51">
        <v>4.71</v>
      </c>
      <c r="K145" s="51">
        <v>3.01</v>
      </c>
      <c r="L145" s="51">
        <v>1.66</v>
      </c>
      <c r="M145" s="51">
        <v>0.86</v>
      </c>
      <c r="N145" s="51">
        <v>0.54</v>
      </c>
      <c r="V145" s="170"/>
      <c r="W145" s="170"/>
      <c r="X145" s="170"/>
    </row>
    <row r="146" spans="2:24" hidden="1">
      <c r="B146" s="46" t="s">
        <v>175</v>
      </c>
      <c r="C146" s="51">
        <v>6.45</v>
      </c>
      <c r="D146" s="51">
        <v>5.68</v>
      </c>
      <c r="E146" s="51">
        <v>4.66</v>
      </c>
      <c r="F146" s="51">
        <v>3.34</v>
      </c>
      <c r="G146" s="51">
        <v>2.39</v>
      </c>
      <c r="H146" s="51">
        <v>1.97</v>
      </c>
      <c r="I146" s="51">
        <v>2.2000000000000002</v>
      </c>
      <c r="J146" s="51">
        <v>2.91</v>
      </c>
      <c r="K146" s="51">
        <v>4.01</v>
      </c>
      <c r="L146" s="51">
        <v>4.9400000000000004</v>
      </c>
      <c r="M146" s="51">
        <v>5.89</v>
      </c>
      <c r="N146" s="51">
        <v>6.31</v>
      </c>
      <c r="V146" s="170"/>
      <c r="W146" s="170"/>
      <c r="X146" s="170"/>
    </row>
    <row r="147" spans="2:24" hidden="1">
      <c r="B147" s="46" t="s">
        <v>174</v>
      </c>
      <c r="C147" s="51">
        <v>5.81</v>
      </c>
      <c r="D147" s="51">
        <v>5.04</v>
      </c>
      <c r="E147" s="51">
        <v>3.99</v>
      </c>
      <c r="F147" s="51">
        <v>2.76</v>
      </c>
      <c r="G147" s="51">
        <v>1.83</v>
      </c>
      <c r="H147" s="51">
        <v>1.43</v>
      </c>
      <c r="I147" s="51">
        <v>1.61</v>
      </c>
      <c r="J147" s="51">
        <v>2.33</v>
      </c>
      <c r="K147" s="51">
        <v>3.43</v>
      </c>
      <c r="L147" s="51">
        <v>4.5199999999999996</v>
      </c>
      <c r="M147" s="51">
        <v>5.54</v>
      </c>
      <c r="N147" s="51">
        <v>5.8</v>
      </c>
      <c r="V147" s="170"/>
      <c r="W147" s="170"/>
      <c r="X147" s="170"/>
    </row>
    <row r="148" spans="2:24" hidden="1">
      <c r="B148" s="46" t="s">
        <v>150</v>
      </c>
      <c r="C148" s="51">
        <v>6.63</v>
      </c>
      <c r="D148" s="51">
        <v>5.54</v>
      </c>
      <c r="E148" s="51">
        <v>4.45</v>
      </c>
      <c r="F148" s="51">
        <v>3.12</v>
      </c>
      <c r="G148" s="51">
        <v>2.15</v>
      </c>
      <c r="H148" s="51">
        <v>1.68</v>
      </c>
      <c r="I148" s="51">
        <v>1.87</v>
      </c>
      <c r="J148" s="51">
        <v>2.61</v>
      </c>
      <c r="K148" s="51">
        <v>3.73</v>
      </c>
      <c r="L148" s="51">
        <v>4.9400000000000004</v>
      </c>
      <c r="M148" s="51">
        <v>5.9</v>
      </c>
      <c r="N148" s="51">
        <v>6.28</v>
      </c>
      <c r="V148" s="170"/>
      <c r="W148" s="170"/>
      <c r="X148" s="170"/>
    </row>
    <row r="149" spans="2:24" hidden="1">
      <c r="B149" s="46" t="s">
        <v>54</v>
      </c>
      <c r="C149" s="51">
        <v>0.33</v>
      </c>
      <c r="D149" s="51">
        <v>1.05</v>
      </c>
      <c r="E149" s="51">
        <v>2.37</v>
      </c>
      <c r="F149" s="51">
        <v>3.79</v>
      </c>
      <c r="G149" s="51">
        <v>5.2</v>
      </c>
      <c r="H149" s="51">
        <v>5.41</v>
      </c>
      <c r="I149" s="51">
        <v>5.34</v>
      </c>
      <c r="J149" s="51">
        <v>4.08</v>
      </c>
      <c r="K149" s="51">
        <v>2.63</v>
      </c>
      <c r="L149" s="51">
        <v>1.25</v>
      </c>
      <c r="M149" s="51">
        <v>0.49</v>
      </c>
      <c r="N149" s="51">
        <v>0.2</v>
      </c>
      <c r="V149" s="170"/>
      <c r="W149" s="170"/>
      <c r="X149" s="170"/>
    </row>
    <row r="150" spans="2:24" hidden="1">
      <c r="B150" s="46" t="s">
        <v>123</v>
      </c>
      <c r="C150" s="51">
        <v>0.16</v>
      </c>
      <c r="D150" s="51">
        <v>0.69</v>
      </c>
      <c r="E150" s="51">
        <v>1.84</v>
      </c>
      <c r="F150" s="51">
        <v>3.56</v>
      </c>
      <c r="G150" s="51">
        <v>4.96</v>
      </c>
      <c r="H150" s="51">
        <v>5.19</v>
      </c>
      <c r="I150" s="51">
        <v>4.66</v>
      </c>
      <c r="J150" s="51">
        <v>3.67</v>
      </c>
      <c r="K150" s="51">
        <v>2.4</v>
      </c>
      <c r="L150" s="51">
        <v>1.06</v>
      </c>
      <c r="M150" s="51">
        <v>0.3</v>
      </c>
      <c r="N150" s="51">
        <v>0.06</v>
      </c>
      <c r="V150" s="170"/>
      <c r="W150" s="170"/>
      <c r="X150" s="170"/>
    </row>
    <row r="151" spans="2:24" hidden="1">
      <c r="B151" s="46" t="s">
        <v>146</v>
      </c>
      <c r="C151" s="51">
        <v>5.36</v>
      </c>
      <c r="D151" s="51">
        <v>6.06</v>
      </c>
      <c r="E151" s="51">
        <v>6.56</v>
      </c>
      <c r="F151" s="51">
        <v>6.38</v>
      </c>
      <c r="G151" s="51">
        <v>6.03</v>
      </c>
      <c r="H151" s="51">
        <v>4.84</v>
      </c>
      <c r="I151" s="51">
        <v>4.5</v>
      </c>
      <c r="J151" s="51">
        <v>4.47</v>
      </c>
      <c r="K151" s="51">
        <v>5.03</v>
      </c>
      <c r="L151" s="51">
        <v>4.63</v>
      </c>
      <c r="M151" s="51">
        <v>4.5</v>
      </c>
      <c r="N151" s="51">
        <v>4.74</v>
      </c>
      <c r="V151" s="170"/>
      <c r="W151" s="170"/>
      <c r="X151" s="170"/>
    </row>
    <row r="152" spans="2:24" hidden="1">
      <c r="B152" s="46" t="s">
        <v>118</v>
      </c>
      <c r="C152" s="51">
        <v>0.61</v>
      </c>
      <c r="D152" s="51">
        <v>1.24</v>
      </c>
      <c r="E152" s="51">
        <v>2.58</v>
      </c>
      <c r="F152" s="51">
        <v>4.07</v>
      </c>
      <c r="G152" s="51">
        <v>5.38</v>
      </c>
      <c r="H152" s="51">
        <v>5.49</v>
      </c>
      <c r="I152" s="51">
        <v>5.36</v>
      </c>
      <c r="J152" s="51">
        <v>4.55</v>
      </c>
      <c r="K152" s="51">
        <v>2.97</v>
      </c>
      <c r="L152" s="51">
        <v>1.6</v>
      </c>
      <c r="M152" s="51">
        <v>0.73</v>
      </c>
      <c r="N152" s="51">
        <v>0.51</v>
      </c>
      <c r="V152" s="170"/>
      <c r="W152" s="170"/>
      <c r="X152" s="170"/>
    </row>
    <row r="153" spans="2:24" hidden="1">
      <c r="B153" s="46" t="s">
        <v>65</v>
      </c>
      <c r="C153" s="51">
        <v>0.87</v>
      </c>
      <c r="D153" s="51">
        <v>1.59</v>
      </c>
      <c r="E153" s="51">
        <v>2.67</v>
      </c>
      <c r="F153" s="51">
        <v>3.73</v>
      </c>
      <c r="G153" s="51">
        <v>5.09</v>
      </c>
      <c r="H153" s="51">
        <v>4.9000000000000004</v>
      </c>
      <c r="I153" s="51">
        <v>4.91</v>
      </c>
      <c r="J153" s="51">
        <v>4.3600000000000003</v>
      </c>
      <c r="K153" s="51">
        <v>2.9</v>
      </c>
      <c r="L153" s="51">
        <v>1.6</v>
      </c>
      <c r="M153" s="51">
        <v>0.88</v>
      </c>
      <c r="N153" s="51">
        <v>0.67</v>
      </c>
      <c r="V153" s="170"/>
      <c r="W153" s="170"/>
      <c r="X153" s="170"/>
    </row>
    <row r="154" spans="2:24" hidden="1">
      <c r="B154" s="46" t="s">
        <v>44</v>
      </c>
      <c r="C154" s="51">
        <v>2.34</v>
      </c>
      <c r="D154" s="51">
        <v>3.2</v>
      </c>
      <c r="E154" s="51">
        <v>4.5199999999999996</v>
      </c>
      <c r="F154" s="51">
        <v>5.7</v>
      </c>
      <c r="G154" s="51">
        <v>6.59</v>
      </c>
      <c r="H154" s="51">
        <v>7.44</v>
      </c>
      <c r="I154" s="51">
        <v>7.5</v>
      </c>
      <c r="J154" s="51">
        <v>6.76</v>
      </c>
      <c r="K154" s="51">
        <v>5.22</v>
      </c>
      <c r="L154" s="51">
        <v>3.57</v>
      </c>
      <c r="M154" s="51">
        <v>2.4500000000000002</v>
      </c>
      <c r="N154" s="51">
        <v>1.96</v>
      </c>
      <c r="V154" s="170"/>
      <c r="W154" s="170"/>
      <c r="X154" s="170"/>
    </row>
    <row r="155" spans="2:24" hidden="1">
      <c r="B155" s="46" t="s">
        <v>147</v>
      </c>
      <c r="C155" s="51">
        <v>2.2599999999999998</v>
      </c>
      <c r="D155" s="51">
        <v>2.63</v>
      </c>
      <c r="E155" s="51">
        <v>3.18</v>
      </c>
      <c r="F155" s="51">
        <v>3.94</v>
      </c>
      <c r="G155" s="51">
        <v>4.54</v>
      </c>
      <c r="H155" s="51">
        <v>5.52</v>
      </c>
      <c r="I155" s="51">
        <v>6.84</v>
      </c>
      <c r="J155" s="51">
        <v>6.2</v>
      </c>
      <c r="K155" s="51">
        <v>4.79</v>
      </c>
      <c r="L155" s="51">
        <v>3.74</v>
      </c>
      <c r="M155" s="51">
        <v>2.72</v>
      </c>
      <c r="N155" s="51">
        <v>2.23</v>
      </c>
      <c r="V155" s="170"/>
      <c r="W155" s="170"/>
      <c r="X155" s="170"/>
    </row>
    <row r="156" spans="2:24" hidden="1">
      <c r="B156" s="46" t="s">
        <v>128</v>
      </c>
      <c r="C156" s="51">
        <v>1.54</v>
      </c>
      <c r="D156" s="51">
        <v>2.34</v>
      </c>
      <c r="E156" s="51">
        <v>3.37</v>
      </c>
      <c r="F156" s="51">
        <v>4.3099999999999996</v>
      </c>
      <c r="G156" s="51">
        <v>5.49</v>
      </c>
      <c r="H156" s="51">
        <v>5.98</v>
      </c>
      <c r="I156" s="51">
        <v>5.97</v>
      </c>
      <c r="J156" s="51">
        <v>5.36</v>
      </c>
      <c r="K156" s="51">
        <v>4.0599999999999996</v>
      </c>
      <c r="L156" s="51">
        <v>2.63</v>
      </c>
      <c r="M156" s="51">
        <v>1.6</v>
      </c>
      <c r="N156" s="51">
        <v>1.21</v>
      </c>
      <c r="V156" s="170"/>
      <c r="W156" s="170"/>
      <c r="X156" s="170"/>
    </row>
    <row r="157" spans="2:24" hidden="1">
      <c r="B157" s="46" t="s">
        <v>48</v>
      </c>
      <c r="C157" s="51">
        <v>0.75</v>
      </c>
      <c r="D157" s="51">
        <v>1.57</v>
      </c>
      <c r="E157" s="51">
        <v>2.84</v>
      </c>
      <c r="F157" s="51">
        <v>3.89</v>
      </c>
      <c r="G157" s="51">
        <v>5.1100000000000003</v>
      </c>
      <c r="H157" s="51">
        <v>5.21</v>
      </c>
      <c r="I157" s="51">
        <v>5.13</v>
      </c>
      <c r="J157" s="51">
        <v>4.3</v>
      </c>
      <c r="K157" s="51">
        <v>2.68</v>
      </c>
      <c r="L157" s="51">
        <v>1.52</v>
      </c>
      <c r="M157" s="51">
        <v>0.82</v>
      </c>
      <c r="N157" s="51">
        <v>0.5</v>
      </c>
      <c r="V157" s="170"/>
      <c r="W157" s="170"/>
      <c r="X157" s="170"/>
    </row>
    <row r="158" spans="2:24" hidden="1">
      <c r="B158" s="46" t="s">
        <v>61</v>
      </c>
      <c r="C158" s="51">
        <v>0.35</v>
      </c>
      <c r="D158" s="51">
        <v>1.06</v>
      </c>
      <c r="E158" s="51">
        <v>2.35</v>
      </c>
      <c r="F158" s="51">
        <v>3.91</v>
      </c>
      <c r="G158" s="51">
        <v>5.4</v>
      </c>
      <c r="H158" s="51">
        <v>5.84</v>
      </c>
      <c r="I158" s="51">
        <v>5.61</v>
      </c>
      <c r="J158" s="51">
        <v>4.38</v>
      </c>
      <c r="K158" s="51">
        <v>2.63</v>
      </c>
      <c r="L158" s="51">
        <v>1.24</v>
      </c>
      <c r="M158" s="51">
        <v>0.49</v>
      </c>
      <c r="N158" s="51">
        <v>0.2</v>
      </c>
      <c r="V158" s="170"/>
      <c r="W158" s="170"/>
      <c r="X158" s="170"/>
    </row>
    <row r="159" spans="2:24" hidden="1">
      <c r="B159" s="46" t="s">
        <v>129</v>
      </c>
      <c r="C159" s="51">
        <v>1.42</v>
      </c>
      <c r="D159" s="51">
        <v>2.27</v>
      </c>
      <c r="E159" s="51">
        <v>3.34</v>
      </c>
      <c r="F159" s="51">
        <v>4.25</v>
      </c>
      <c r="G159" s="51">
        <v>5.3</v>
      </c>
      <c r="H159" s="51">
        <v>5.81</v>
      </c>
      <c r="I159" s="51">
        <v>5.97</v>
      </c>
      <c r="J159" s="51">
        <v>5.38</v>
      </c>
      <c r="K159" s="51">
        <v>3.87</v>
      </c>
      <c r="L159" s="51">
        <v>2.61</v>
      </c>
      <c r="M159" s="51">
        <v>1.5</v>
      </c>
      <c r="N159" s="51">
        <v>1.17</v>
      </c>
      <c r="V159" s="170"/>
      <c r="W159" s="170"/>
      <c r="X159" s="170"/>
    </row>
    <row r="160" spans="2:24" hidden="1">
      <c r="B160" s="46" t="s">
        <v>141</v>
      </c>
      <c r="C160" s="51">
        <v>4.3499999999999996</v>
      </c>
      <c r="D160" s="51">
        <v>5.19</v>
      </c>
      <c r="E160" s="51">
        <v>5.1100000000000003</v>
      </c>
      <c r="F160" s="51">
        <v>4.87</v>
      </c>
      <c r="G160" s="51">
        <v>4.51</v>
      </c>
      <c r="H160" s="51">
        <v>4.38</v>
      </c>
      <c r="I160" s="51">
        <v>4.3</v>
      </c>
      <c r="J160" s="51">
        <v>4.33</v>
      </c>
      <c r="K160" s="51">
        <v>4.5</v>
      </c>
      <c r="L160" s="51">
        <v>4.4400000000000004</v>
      </c>
      <c r="M160" s="51">
        <v>4.03</v>
      </c>
      <c r="N160" s="51">
        <v>3.85</v>
      </c>
      <c r="V160" s="170"/>
      <c r="W160" s="170"/>
      <c r="X160" s="170"/>
    </row>
    <row r="161" spans="2:24" hidden="1">
      <c r="B161" s="46" t="s">
        <v>138</v>
      </c>
      <c r="C161" s="51">
        <v>8.17</v>
      </c>
      <c r="D161" s="51">
        <v>7.3</v>
      </c>
      <c r="E161" s="51">
        <v>5.91</v>
      </c>
      <c r="F161" s="51">
        <v>4.3</v>
      </c>
      <c r="G161" s="51">
        <v>3.09</v>
      </c>
      <c r="H161" s="51">
        <v>2.64</v>
      </c>
      <c r="I161" s="51">
        <v>2.85</v>
      </c>
      <c r="J161" s="51">
        <v>3.67</v>
      </c>
      <c r="K161" s="51">
        <v>4.92</v>
      </c>
      <c r="L161" s="51">
        <v>6.46</v>
      </c>
      <c r="M161" s="51">
        <v>7.68</v>
      </c>
      <c r="N161" s="51">
        <v>8.18</v>
      </c>
      <c r="V161" s="170"/>
      <c r="W161" s="170"/>
      <c r="X161" s="170"/>
    </row>
    <row r="162" spans="2:24" hidden="1">
      <c r="B162" s="46" t="s">
        <v>136</v>
      </c>
      <c r="C162" s="51">
        <v>6.6</v>
      </c>
      <c r="D162" s="51">
        <v>6.14</v>
      </c>
      <c r="E162" s="51">
        <v>5.6</v>
      </c>
      <c r="F162" s="51">
        <v>4.97</v>
      </c>
      <c r="G162" s="51">
        <v>4.6100000000000003</v>
      </c>
      <c r="H162" s="51">
        <v>4.2300000000000004</v>
      </c>
      <c r="I162" s="51">
        <v>4.59</v>
      </c>
      <c r="J162" s="51">
        <v>5.19</v>
      </c>
      <c r="K162" s="51">
        <v>6.1</v>
      </c>
      <c r="L162" s="51">
        <v>6.27</v>
      </c>
      <c r="M162" s="51">
        <v>6.4</v>
      </c>
      <c r="N162" s="51">
        <v>6.5</v>
      </c>
      <c r="V162" s="170"/>
      <c r="W162" s="170"/>
      <c r="X162" s="170"/>
    </row>
    <row r="163" spans="2:24" hidden="1">
      <c r="B163" s="46" t="s">
        <v>149</v>
      </c>
      <c r="C163" s="51">
        <v>2.83</v>
      </c>
      <c r="D163" s="51">
        <v>3.7</v>
      </c>
      <c r="E163" s="51">
        <v>4.45</v>
      </c>
      <c r="F163" s="51">
        <v>5.42</v>
      </c>
      <c r="G163" s="51">
        <v>5.6</v>
      </c>
      <c r="H163" s="51">
        <v>4.97</v>
      </c>
      <c r="I163" s="51">
        <v>3.93</v>
      </c>
      <c r="J163" s="51">
        <v>4.1399999999999997</v>
      </c>
      <c r="K163" s="51">
        <v>4.04</v>
      </c>
      <c r="L163" s="51">
        <v>3.48</v>
      </c>
      <c r="M163" s="51">
        <v>2.73</v>
      </c>
      <c r="N163" s="51">
        <v>2.5299999999999998</v>
      </c>
      <c r="V163" s="170"/>
      <c r="W163" s="170"/>
      <c r="X163" s="170"/>
    </row>
    <row r="164" spans="2:24" hidden="1">
      <c r="B164" s="46" t="s">
        <v>111</v>
      </c>
      <c r="C164" s="51">
        <v>2.09</v>
      </c>
      <c r="D164" s="51">
        <v>3.13</v>
      </c>
      <c r="E164" s="51">
        <v>4.3099999999999996</v>
      </c>
      <c r="F164" s="51">
        <v>5.33</v>
      </c>
      <c r="G164" s="51">
        <v>6</v>
      </c>
      <c r="H164" s="51">
        <v>6.69</v>
      </c>
      <c r="I164" s="51">
        <v>6.8</v>
      </c>
      <c r="J164" s="51">
        <v>5.81</v>
      </c>
      <c r="K164" s="51">
        <v>4.5599999999999996</v>
      </c>
      <c r="L164" s="51">
        <v>3.11</v>
      </c>
      <c r="M164" s="51">
        <v>2.14</v>
      </c>
      <c r="N164" s="51">
        <v>1.77</v>
      </c>
      <c r="V164" s="170"/>
      <c r="W164" s="170"/>
      <c r="X164" s="170"/>
    </row>
    <row r="165" spans="2:24" hidden="1">
      <c r="B165" s="46" t="s">
        <v>46</v>
      </c>
      <c r="C165" s="51">
        <v>2.11</v>
      </c>
      <c r="D165" s="51">
        <v>3.05</v>
      </c>
      <c r="E165" s="51">
        <v>4.3899999999999997</v>
      </c>
      <c r="F165" s="51">
        <v>5.21</v>
      </c>
      <c r="G165" s="51">
        <v>6.06</v>
      </c>
      <c r="H165" s="51">
        <v>7.01</v>
      </c>
      <c r="I165" s="51">
        <v>7.19</v>
      </c>
      <c r="J165" s="51">
        <v>6.31</v>
      </c>
      <c r="K165" s="51">
        <v>4.83</v>
      </c>
      <c r="L165" s="51">
        <v>3.15</v>
      </c>
      <c r="M165" s="51">
        <v>2.17</v>
      </c>
      <c r="N165" s="51">
        <v>1.78</v>
      </c>
      <c r="V165" s="170"/>
      <c r="W165" s="170"/>
      <c r="X165" s="170"/>
    </row>
    <row r="166" spans="2:24" hidden="1">
      <c r="B166" s="46" t="s">
        <v>130</v>
      </c>
      <c r="C166" s="51">
        <v>2.56</v>
      </c>
      <c r="D166" s="51">
        <v>3.48</v>
      </c>
      <c r="E166" s="51">
        <v>4.74</v>
      </c>
      <c r="F166" s="51">
        <v>5.69</v>
      </c>
      <c r="G166" s="51">
        <v>6.54</v>
      </c>
      <c r="H166" s="51">
        <v>7.5</v>
      </c>
      <c r="I166" s="51">
        <v>7.8</v>
      </c>
      <c r="J166" s="51">
        <v>6.91</v>
      </c>
      <c r="K166" s="51">
        <v>5.33</v>
      </c>
      <c r="L166" s="51">
        <v>3.63</v>
      </c>
      <c r="M166" s="51">
        <v>2.62</v>
      </c>
      <c r="N166" s="51">
        <v>2.17</v>
      </c>
      <c r="V166" s="170"/>
      <c r="W166" s="170"/>
      <c r="X166" s="170"/>
    </row>
    <row r="167" spans="2:24" hidden="1">
      <c r="B167" s="46" t="s">
        <v>64</v>
      </c>
      <c r="C167" s="51">
        <v>2.54</v>
      </c>
      <c r="D167" s="51">
        <v>3.46</v>
      </c>
      <c r="E167" s="51">
        <v>4.7699999999999996</v>
      </c>
      <c r="F167" s="51">
        <v>6.15</v>
      </c>
      <c r="G167" s="51">
        <v>6.84</v>
      </c>
      <c r="H167" s="51">
        <v>7.67</v>
      </c>
      <c r="I167" s="51">
        <v>7.73</v>
      </c>
      <c r="J167" s="51">
        <v>6.77</v>
      </c>
      <c r="K167" s="51">
        <v>5.3</v>
      </c>
      <c r="L167" s="51">
        <v>3.77</v>
      </c>
      <c r="M167" s="51">
        <v>2.62</v>
      </c>
      <c r="N167" s="51">
        <v>2.14</v>
      </c>
      <c r="V167" s="170"/>
      <c r="W167" s="170"/>
      <c r="X167" s="170"/>
    </row>
    <row r="168" spans="2:24" hidden="1">
      <c r="B168" s="46" t="s">
        <v>143</v>
      </c>
      <c r="C168" s="51">
        <v>5.66</v>
      </c>
      <c r="D168" s="51">
        <v>6.02</v>
      </c>
      <c r="E168" s="51">
        <v>6.56</v>
      </c>
      <c r="F168" s="51">
        <v>6.48</v>
      </c>
      <c r="G168" s="51">
        <v>5.68</v>
      </c>
      <c r="H168" s="51">
        <v>5.57</v>
      </c>
      <c r="I168" s="51">
        <v>5.46</v>
      </c>
      <c r="J168" s="51">
        <v>5.47</v>
      </c>
      <c r="K168" s="51">
        <v>5.51</v>
      </c>
      <c r="L168" s="51">
        <v>5.2</v>
      </c>
      <c r="M168" s="51">
        <v>5.12</v>
      </c>
      <c r="N168" s="51">
        <v>5.0999999999999996</v>
      </c>
      <c r="V168" s="170"/>
      <c r="W168" s="170"/>
      <c r="X168" s="170"/>
    </row>
    <row r="169" spans="2:24" hidden="1">
      <c r="B169" s="46" t="s">
        <v>121</v>
      </c>
      <c r="C169" s="51">
        <v>0.44</v>
      </c>
      <c r="D169" s="51">
        <v>1.1000000000000001</v>
      </c>
      <c r="E169" s="51">
        <v>2.3199999999999998</v>
      </c>
      <c r="F169" s="51">
        <v>3.76</v>
      </c>
      <c r="G169" s="51">
        <v>5.24</v>
      </c>
      <c r="H169" s="51">
        <v>5.58</v>
      </c>
      <c r="I169" s="51">
        <v>5.36</v>
      </c>
      <c r="J169" s="51">
        <v>4.28</v>
      </c>
      <c r="K169" s="51">
        <v>2.85</v>
      </c>
      <c r="L169" s="51">
        <v>1.36</v>
      </c>
      <c r="M169" s="51">
        <v>0.61</v>
      </c>
      <c r="N169" s="51">
        <v>0.3</v>
      </c>
      <c r="V169" s="170"/>
      <c r="W169" s="170"/>
      <c r="X169" s="170"/>
    </row>
    <row r="170" spans="2:24" hidden="1">
      <c r="B170" s="46" t="s">
        <v>206</v>
      </c>
      <c r="C170" s="51">
        <v>0.69</v>
      </c>
      <c r="D170" s="51">
        <v>1.73</v>
      </c>
      <c r="E170" s="51">
        <v>2.86</v>
      </c>
      <c r="F170" s="51">
        <v>3.55</v>
      </c>
      <c r="G170" s="51">
        <v>3.61</v>
      </c>
      <c r="H170" s="51">
        <v>3.5</v>
      </c>
      <c r="I170" s="51">
        <v>3.41</v>
      </c>
      <c r="J170" s="51">
        <v>3.2</v>
      </c>
      <c r="K170" s="51">
        <v>2.82</v>
      </c>
      <c r="L170" s="51">
        <v>1.94</v>
      </c>
      <c r="M170" s="51">
        <v>1.18</v>
      </c>
      <c r="N170" s="51">
        <v>0</v>
      </c>
      <c r="V170" s="170"/>
      <c r="W170" s="170"/>
      <c r="X170" s="170"/>
    </row>
    <row r="171" spans="2:24" hidden="1">
      <c r="B171" s="46" t="s">
        <v>62</v>
      </c>
      <c r="C171" s="51">
        <v>0.4</v>
      </c>
      <c r="D171" s="51">
        <v>1.07</v>
      </c>
      <c r="E171" s="51">
        <v>2.44</v>
      </c>
      <c r="F171" s="51">
        <v>4.08</v>
      </c>
      <c r="G171" s="51">
        <v>5.6</v>
      </c>
      <c r="H171" s="51">
        <v>5.86</v>
      </c>
      <c r="I171" s="51">
        <v>5.59</v>
      </c>
      <c r="J171" s="51">
        <v>4.38</v>
      </c>
      <c r="K171" s="51">
        <v>2.83</v>
      </c>
      <c r="L171" s="51">
        <v>1.33</v>
      </c>
      <c r="M171" s="51">
        <v>0.55000000000000004</v>
      </c>
      <c r="N171" s="51">
        <v>0.25</v>
      </c>
      <c r="V171" s="170"/>
      <c r="W171" s="170"/>
      <c r="X171" s="170"/>
    </row>
    <row r="172" spans="2:24" hidden="1">
      <c r="B172" s="46" t="s">
        <v>132</v>
      </c>
      <c r="C172" s="51">
        <v>1.39</v>
      </c>
      <c r="D172" s="51">
        <v>2.2000000000000002</v>
      </c>
      <c r="E172" s="51">
        <v>3.37</v>
      </c>
      <c r="F172" s="51">
        <v>4.26</v>
      </c>
      <c r="G172" s="51">
        <v>5.22</v>
      </c>
      <c r="H172" s="51">
        <v>5.87</v>
      </c>
      <c r="I172" s="51">
        <v>5.95</v>
      </c>
      <c r="J172" s="51">
        <v>5.1100000000000003</v>
      </c>
      <c r="K172" s="51">
        <v>3.8</v>
      </c>
      <c r="L172" s="51">
        <v>2.38</v>
      </c>
      <c r="M172" s="51">
        <v>1.44</v>
      </c>
      <c r="N172" s="51">
        <v>1.1100000000000001</v>
      </c>
      <c r="V172" s="170"/>
      <c r="W172" s="170"/>
      <c r="X172" s="170"/>
    </row>
    <row r="173" spans="2:24" hidden="1">
      <c r="B173" s="46" t="s">
        <v>113</v>
      </c>
      <c r="C173" s="51">
        <v>1.37</v>
      </c>
      <c r="D173" s="51">
        <v>2.1800000000000002</v>
      </c>
      <c r="E173" s="51">
        <v>3.25</v>
      </c>
      <c r="F173" s="51">
        <v>4.24</v>
      </c>
      <c r="G173" s="51">
        <v>5.22</v>
      </c>
      <c r="H173" s="51">
        <v>5.61</v>
      </c>
      <c r="I173" s="51">
        <v>5.61</v>
      </c>
      <c r="J173" s="51">
        <v>4.82</v>
      </c>
      <c r="K173" s="51">
        <v>3.5</v>
      </c>
      <c r="L173" s="51">
        <v>2.17</v>
      </c>
      <c r="M173" s="51">
        <v>1.36</v>
      </c>
      <c r="N173" s="51">
        <v>1.05</v>
      </c>
      <c r="V173" s="170"/>
      <c r="W173" s="170"/>
      <c r="X173" s="170"/>
    </row>
    <row r="174" spans="2:24" hidden="1">
      <c r="B174" s="46" t="s">
        <v>135</v>
      </c>
      <c r="C174" s="51">
        <v>5.07</v>
      </c>
      <c r="D174" s="51">
        <v>5.62</v>
      </c>
      <c r="E174" s="51">
        <v>5.99</v>
      </c>
      <c r="F174" s="51">
        <v>6.23</v>
      </c>
      <c r="G174" s="51">
        <v>5.37</v>
      </c>
      <c r="H174" s="51">
        <v>4.93</v>
      </c>
      <c r="I174" s="51">
        <v>4.82</v>
      </c>
      <c r="J174" s="51">
        <v>4.8099999999999996</v>
      </c>
      <c r="K174" s="51">
        <v>4.7300000000000004</v>
      </c>
      <c r="L174" s="51">
        <v>4.49</v>
      </c>
      <c r="M174" s="51">
        <v>4.74</v>
      </c>
      <c r="N174" s="51">
        <v>4.8600000000000003</v>
      </c>
      <c r="V174" s="170"/>
      <c r="W174" s="170"/>
      <c r="X174" s="170"/>
    </row>
    <row r="175" spans="2:24" hidden="1">
      <c r="B175" s="46" t="s">
        <v>191</v>
      </c>
      <c r="C175" s="51">
        <v>5.22</v>
      </c>
      <c r="D175" s="51">
        <v>5.42</v>
      </c>
      <c r="E175" s="51">
        <v>5.47</v>
      </c>
      <c r="F175" s="51">
        <v>5.55</v>
      </c>
      <c r="G175" s="51">
        <v>4.57</v>
      </c>
      <c r="H175" s="51">
        <v>4.2300000000000004</v>
      </c>
      <c r="I175" s="51">
        <v>4.1900000000000004</v>
      </c>
      <c r="J175" s="51">
        <v>4.0599999999999996</v>
      </c>
      <c r="K175" s="51">
        <v>4.16</v>
      </c>
      <c r="L175" s="51">
        <v>4.5199999999999996</v>
      </c>
      <c r="M175" s="51">
        <v>4.97</v>
      </c>
      <c r="N175" s="51">
        <v>5.1100000000000003</v>
      </c>
      <c r="V175" s="170"/>
      <c r="W175" s="170"/>
      <c r="X175" s="170"/>
    </row>
    <row r="176" spans="2:24" hidden="1">
      <c r="B176" s="46" t="s">
        <v>192</v>
      </c>
      <c r="C176" s="51">
        <v>5.17</v>
      </c>
      <c r="D176" s="51">
        <v>5.92</v>
      </c>
      <c r="E176" s="51">
        <v>6.31</v>
      </c>
      <c r="F176" s="51">
        <v>6.36</v>
      </c>
      <c r="G176" s="51">
        <v>5.36</v>
      </c>
      <c r="H176" s="51">
        <v>4.28</v>
      </c>
      <c r="I176" s="51">
        <v>3.99</v>
      </c>
      <c r="J176" s="51">
        <v>3.91</v>
      </c>
      <c r="K176" s="51">
        <v>4.28</v>
      </c>
      <c r="L176" s="51">
        <v>4.45</v>
      </c>
      <c r="M176" s="51">
        <v>4.4800000000000004</v>
      </c>
      <c r="N176" s="51">
        <v>4.75</v>
      </c>
      <c r="V176" s="170"/>
      <c r="W176" s="170"/>
      <c r="X176" s="170"/>
    </row>
    <row r="177" spans="2:24" hidden="1">
      <c r="B177" s="46" t="s">
        <v>193</v>
      </c>
      <c r="C177" s="51">
        <v>5.88</v>
      </c>
      <c r="D177" s="51">
        <v>6.35</v>
      </c>
      <c r="E177" s="51">
        <v>6.27</v>
      </c>
      <c r="F177" s="51">
        <v>6.13</v>
      </c>
      <c r="G177" s="51">
        <v>4.8899999999999997</v>
      </c>
      <c r="H177" s="51">
        <v>4.6100000000000003</v>
      </c>
      <c r="I177" s="51">
        <v>4.67</v>
      </c>
      <c r="J177" s="51">
        <v>4.47</v>
      </c>
      <c r="K177" s="51">
        <v>4.38</v>
      </c>
      <c r="L177" s="51">
        <v>4.57</v>
      </c>
      <c r="M177" s="51">
        <v>4.83</v>
      </c>
      <c r="N177" s="51">
        <v>5.18</v>
      </c>
      <c r="V177" s="170"/>
      <c r="W177" s="170"/>
      <c r="X177" s="170"/>
    </row>
    <row r="178" spans="2:24" hidden="1">
      <c r="B178" s="46" t="s">
        <v>194</v>
      </c>
      <c r="C178" s="51">
        <v>5.34</v>
      </c>
      <c r="D178" s="51">
        <v>5.8</v>
      </c>
      <c r="E178" s="51">
        <v>5.96</v>
      </c>
      <c r="F178" s="51">
        <v>6.2</v>
      </c>
      <c r="G178" s="51">
        <v>5.19</v>
      </c>
      <c r="H178" s="51">
        <v>4.8499999999999996</v>
      </c>
      <c r="I178" s="51">
        <v>4.84</v>
      </c>
      <c r="J178" s="51">
        <v>4.78</v>
      </c>
      <c r="K178" s="51">
        <v>4.63</v>
      </c>
      <c r="L178" s="51">
        <v>4.7300000000000004</v>
      </c>
      <c r="M178" s="51">
        <v>5.22</v>
      </c>
      <c r="N178" s="51">
        <v>5.27</v>
      </c>
      <c r="V178" s="170"/>
      <c r="W178" s="170"/>
      <c r="X178" s="170"/>
    </row>
    <row r="179" spans="2:24" hidden="1">
      <c r="B179" s="46" t="s">
        <v>195</v>
      </c>
      <c r="C179" s="51">
        <v>5.17</v>
      </c>
      <c r="D179" s="51">
        <v>5.92</v>
      </c>
      <c r="E179" s="51">
        <v>6.31</v>
      </c>
      <c r="F179" s="51">
        <v>6.36</v>
      </c>
      <c r="G179" s="51">
        <v>5.36</v>
      </c>
      <c r="H179" s="51">
        <v>4.28</v>
      </c>
      <c r="I179" s="51">
        <v>3.99</v>
      </c>
      <c r="J179" s="51">
        <v>3.91</v>
      </c>
      <c r="K179" s="51">
        <v>4.28</v>
      </c>
      <c r="L179" s="51">
        <v>4.45</v>
      </c>
      <c r="M179" s="51">
        <v>4.4800000000000004</v>
      </c>
      <c r="N179" s="51">
        <v>4.75</v>
      </c>
      <c r="V179" s="170"/>
      <c r="W179" s="170"/>
      <c r="X179" s="170"/>
    </row>
    <row r="180" spans="2:24" hidden="1">
      <c r="B180" s="46" t="s">
        <v>110</v>
      </c>
      <c r="C180" s="51">
        <v>1.77</v>
      </c>
      <c r="D180" s="51">
        <v>2.5</v>
      </c>
      <c r="E180" s="51">
        <v>3.73</v>
      </c>
      <c r="F180" s="51">
        <v>4.4800000000000004</v>
      </c>
      <c r="G180" s="51">
        <v>5.69</v>
      </c>
      <c r="H180" s="51">
        <v>6.44</v>
      </c>
      <c r="I180" s="51">
        <v>6.75</v>
      </c>
      <c r="J180" s="51">
        <v>5.99</v>
      </c>
      <c r="K180" s="51">
        <v>4.84</v>
      </c>
      <c r="L180" s="51">
        <v>3.26</v>
      </c>
      <c r="M180" s="51">
        <v>2.0699999999999998</v>
      </c>
      <c r="N180" s="51">
        <v>1.49</v>
      </c>
      <c r="V180" s="170"/>
      <c r="W180" s="170"/>
      <c r="X180" s="170"/>
    </row>
    <row r="181" spans="2:24" hidden="1">
      <c r="B181" s="46" t="s">
        <v>43</v>
      </c>
      <c r="C181" s="51">
        <v>1.47</v>
      </c>
      <c r="D181" s="51">
        <v>2.23</v>
      </c>
      <c r="E181" s="51">
        <v>3.49</v>
      </c>
      <c r="F181" s="51">
        <v>4.83</v>
      </c>
      <c r="G181" s="51">
        <v>6.35</v>
      </c>
      <c r="H181" s="51">
        <v>7.27</v>
      </c>
      <c r="I181" s="51">
        <v>7.41</v>
      </c>
      <c r="J181" s="51">
        <v>6.33</v>
      </c>
      <c r="K181" s="51">
        <v>4.8600000000000003</v>
      </c>
      <c r="L181" s="51">
        <v>2.89</v>
      </c>
      <c r="M181" s="51">
        <v>1.75</v>
      </c>
      <c r="N181" s="51">
        <v>1.25</v>
      </c>
      <c r="V181" s="170"/>
      <c r="W181" s="170"/>
      <c r="X181" s="170"/>
    </row>
    <row r="182" spans="2:24" hidden="1">
      <c r="B182" s="46" t="s">
        <v>127</v>
      </c>
      <c r="C182" s="51">
        <v>1.07</v>
      </c>
      <c r="D182" s="51">
        <v>1.87</v>
      </c>
      <c r="E182" s="51">
        <v>2.95</v>
      </c>
      <c r="F182" s="51">
        <v>3.96</v>
      </c>
      <c r="G182" s="51">
        <v>5.25</v>
      </c>
      <c r="H182" s="51">
        <v>5.22</v>
      </c>
      <c r="I182" s="51">
        <v>5.25</v>
      </c>
      <c r="J182" s="51">
        <v>4.67</v>
      </c>
      <c r="K182" s="51">
        <v>3.12</v>
      </c>
      <c r="L182" s="51">
        <v>1.94</v>
      </c>
      <c r="M182" s="51">
        <v>1.02</v>
      </c>
      <c r="N182" s="51">
        <v>0.86</v>
      </c>
    </row>
    <row r="183" spans="2:24" hidden="1">
      <c r="B183" s="46" t="s">
        <v>117</v>
      </c>
      <c r="C183" s="51">
        <v>0.74</v>
      </c>
      <c r="D183" s="51">
        <v>1.35</v>
      </c>
      <c r="E183" s="51">
        <v>2.23</v>
      </c>
      <c r="F183" s="51">
        <v>3.54</v>
      </c>
      <c r="G183" s="51">
        <v>4.55</v>
      </c>
      <c r="H183" s="51">
        <v>4.7300000000000004</v>
      </c>
      <c r="I183" s="51">
        <v>4.6900000000000004</v>
      </c>
      <c r="J183" s="51">
        <v>4</v>
      </c>
      <c r="K183" s="51">
        <v>2.76</v>
      </c>
      <c r="L183" s="51">
        <v>1.59</v>
      </c>
      <c r="M183" s="51">
        <v>0.92</v>
      </c>
      <c r="N183" s="51">
        <v>0.59</v>
      </c>
    </row>
    <row r="184" spans="2:24" hidden="1">
      <c r="B184" s="46" t="s">
        <v>35</v>
      </c>
      <c r="C184" s="51">
        <v>0.51</v>
      </c>
      <c r="D184" s="51">
        <v>1.17</v>
      </c>
      <c r="E184" s="51">
        <v>2.0499999999999998</v>
      </c>
      <c r="F184" s="51">
        <v>3.24</v>
      </c>
      <c r="G184" s="51">
        <v>4.53</v>
      </c>
      <c r="H184" s="51">
        <v>4.6100000000000003</v>
      </c>
      <c r="I184" s="51">
        <v>4.3</v>
      </c>
      <c r="J184" s="51">
        <v>3.63</v>
      </c>
      <c r="K184" s="51">
        <v>2.4700000000000002</v>
      </c>
      <c r="L184" s="51">
        <v>1.35</v>
      </c>
      <c r="M184" s="51">
        <v>0.65</v>
      </c>
      <c r="N184" s="51">
        <v>0.38</v>
      </c>
    </row>
    <row r="185" spans="2:24" hidden="1">
      <c r="B185" s="46" t="s">
        <v>38</v>
      </c>
      <c r="C185" s="51">
        <v>0.51</v>
      </c>
      <c r="D185" s="51">
        <v>1.17</v>
      </c>
      <c r="E185" s="51">
        <v>2.0499999999999998</v>
      </c>
      <c r="F185" s="51">
        <v>3.24</v>
      </c>
      <c r="G185" s="51">
        <v>4.53</v>
      </c>
      <c r="H185" s="51">
        <v>4.6100000000000003</v>
      </c>
      <c r="I185" s="51">
        <v>4.3</v>
      </c>
      <c r="J185" s="51">
        <v>3.63</v>
      </c>
      <c r="K185" s="51">
        <v>2.4700000000000002</v>
      </c>
      <c r="L185" s="51">
        <v>1.35</v>
      </c>
      <c r="M185" s="51">
        <v>0.65</v>
      </c>
      <c r="N185" s="51">
        <v>0.38</v>
      </c>
    </row>
    <row r="186" spans="2:24" hidden="1">
      <c r="B186" s="46" t="s">
        <v>45</v>
      </c>
      <c r="C186" s="51">
        <v>0.82</v>
      </c>
      <c r="D186" s="51">
        <v>1.46</v>
      </c>
      <c r="E186" s="51">
        <v>2.4500000000000002</v>
      </c>
      <c r="F186" s="51">
        <v>3.72</v>
      </c>
      <c r="G186" s="51">
        <v>4.71</v>
      </c>
      <c r="H186" s="51">
        <v>4.97</v>
      </c>
      <c r="I186" s="51">
        <v>4.9800000000000004</v>
      </c>
      <c r="J186" s="51">
        <v>4.34</v>
      </c>
      <c r="K186" s="51">
        <v>2.93</v>
      </c>
      <c r="L186" s="51">
        <v>1.79</v>
      </c>
      <c r="M186" s="51">
        <v>0.99</v>
      </c>
      <c r="N186" s="51">
        <v>0.62</v>
      </c>
    </row>
    <row r="187" spans="2:24" hidden="1">
      <c r="B187" s="46" t="s">
        <v>140</v>
      </c>
      <c r="C187" s="51">
        <v>0.65</v>
      </c>
      <c r="D187" s="51">
        <v>1.32</v>
      </c>
      <c r="E187" s="51">
        <v>2.2200000000000002</v>
      </c>
      <c r="F187" s="51">
        <v>3.39</v>
      </c>
      <c r="G187" s="51">
        <v>4.42</v>
      </c>
      <c r="H187" s="51">
        <v>4.5</v>
      </c>
      <c r="I187" s="51">
        <v>4.4800000000000004</v>
      </c>
      <c r="J187" s="51">
        <v>3.85</v>
      </c>
      <c r="K187" s="51">
        <v>2.64</v>
      </c>
      <c r="L187" s="51">
        <v>1.57</v>
      </c>
      <c r="M187" s="51">
        <v>0.82</v>
      </c>
      <c r="N187" s="51">
        <v>0.51</v>
      </c>
    </row>
    <row r="188" spans="2:24" hidden="1">
      <c r="B188" s="46" t="s">
        <v>27</v>
      </c>
      <c r="C188" s="51">
        <v>0.1</v>
      </c>
      <c r="D188" s="51">
        <v>0.67</v>
      </c>
      <c r="E188" s="51">
        <v>2.02</v>
      </c>
      <c r="F188" s="51">
        <v>3.83</v>
      </c>
      <c r="G188" s="51">
        <v>5.34</v>
      </c>
      <c r="H188" s="51">
        <v>5.85</v>
      </c>
      <c r="I188" s="51">
        <v>5.15</v>
      </c>
      <c r="J188" s="51">
        <v>3.65</v>
      </c>
      <c r="K188" s="51">
        <v>2.3199999999999998</v>
      </c>
      <c r="L188" s="51">
        <v>1.05</v>
      </c>
      <c r="M188" s="51">
        <v>0.23</v>
      </c>
      <c r="N188" s="51">
        <v>0.02</v>
      </c>
    </row>
    <row r="189" spans="2:24" hidden="1">
      <c r="B189" s="46" t="s">
        <v>105</v>
      </c>
      <c r="C189" s="51">
        <v>2.4700000000000002</v>
      </c>
      <c r="D189" s="51">
        <v>3.1</v>
      </c>
      <c r="E189" s="51">
        <v>4.2</v>
      </c>
      <c r="F189" s="51">
        <v>5.19</v>
      </c>
      <c r="G189" s="51">
        <v>5.63</v>
      </c>
      <c r="H189" s="51">
        <v>5.74</v>
      </c>
      <c r="I189" s="51">
        <v>5.73</v>
      </c>
      <c r="J189" s="51">
        <v>5.16</v>
      </c>
      <c r="K189" s="51">
        <v>4.55</v>
      </c>
      <c r="L189" s="51">
        <v>3.88</v>
      </c>
      <c r="M189" s="51">
        <v>2.74</v>
      </c>
      <c r="N189" s="51">
        <v>2.27</v>
      </c>
    </row>
    <row r="190" spans="2:24" hidden="1">
      <c r="B190" s="46" t="s">
        <v>52</v>
      </c>
      <c r="C190" s="51">
        <v>2.79</v>
      </c>
      <c r="D190" s="51">
        <v>3.35</v>
      </c>
      <c r="E190" s="51">
        <v>4.32</v>
      </c>
      <c r="F190" s="51">
        <v>5.24</v>
      </c>
      <c r="G190" s="51">
        <v>5.58</v>
      </c>
      <c r="H190" s="51">
        <v>6.17</v>
      </c>
      <c r="I190" s="51">
        <v>6.44</v>
      </c>
      <c r="J190" s="51">
        <v>5.82</v>
      </c>
      <c r="K190" s="51">
        <v>5.03</v>
      </c>
      <c r="L190" s="51">
        <v>4.04</v>
      </c>
      <c r="M190" s="51">
        <v>3.08</v>
      </c>
      <c r="N190" s="51">
        <v>2.6</v>
      </c>
    </row>
    <row r="191" spans="2:24" hidden="1">
      <c r="B191" s="46" t="s">
        <v>51</v>
      </c>
      <c r="C191" s="51">
        <v>1.39</v>
      </c>
      <c r="D191" s="51">
        <v>2.2799999999999998</v>
      </c>
      <c r="E191" s="51">
        <v>3.62</v>
      </c>
      <c r="F191" s="51">
        <v>4.79</v>
      </c>
      <c r="G191" s="51">
        <v>5.76</v>
      </c>
      <c r="H191" s="51">
        <v>6.51</v>
      </c>
      <c r="I191" s="51">
        <v>6.56</v>
      </c>
      <c r="J191" s="51">
        <v>5.62</v>
      </c>
      <c r="K191" s="51">
        <v>4.4400000000000004</v>
      </c>
      <c r="L191" s="51">
        <v>2.94</v>
      </c>
      <c r="M191" s="51">
        <v>1.71</v>
      </c>
      <c r="N191" s="51">
        <v>1.26</v>
      </c>
    </row>
    <row r="192" spans="2:24" hidden="1">
      <c r="B192" s="46" t="s">
        <v>108</v>
      </c>
      <c r="C192" s="51">
        <v>2.23</v>
      </c>
      <c r="D192" s="51">
        <v>3.17</v>
      </c>
      <c r="E192" s="51">
        <v>4.37</v>
      </c>
      <c r="F192" s="51">
        <v>5.39</v>
      </c>
      <c r="G192" s="51">
        <v>6.21</v>
      </c>
      <c r="H192" s="51">
        <v>6.69</v>
      </c>
      <c r="I192" s="51">
        <v>6.59</v>
      </c>
      <c r="J192" s="51">
        <v>5.8</v>
      </c>
      <c r="K192" s="51">
        <v>4.92</v>
      </c>
      <c r="L192" s="51">
        <v>3.7</v>
      </c>
      <c r="M192" s="51">
        <v>2.54</v>
      </c>
      <c r="N192" s="51">
        <v>2.0499999999999998</v>
      </c>
    </row>
    <row r="193" spans="2:14" hidden="1">
      <c r="B193" s="46" t="s">
        <v>107</v>
      </c>
      <c r="C193" s="51">
        <v>2.14</v>
      </c>
      <c r="D193" s="51">
        <v>2.77</v>
      </c>
      <c r="E193" s="51">
        <v>3.91</v>
      </c>
      <c r="F193" s="51">
        <v>4.8</v>
      </c>
      <c r="G193" s="51">
        <v>5.56</v>
      </c>
      <c r="H193" s="51">
        <v>6.15</v>
      </c>
      <c r="I193" s="51">
        <v>6.28</v>
      </c>
      <c r="J193" s="51">
        <v>5.49</v>
      </c>
      <c r="K193" s="51">
        <v>4.68</v>
      </c>
      <c r="L193" s="51">
        <v>3.42</v>
      </c>
      <c r="M193" s="51">
        <v>2.27</v>
      </c>
      <c r="N193" s="51">
        <v>1.88</v>
      </c>
    </row>
    <row r="194" spans="2:14" hidden="1">
      <c r="B194" s="46" t="s">
        <v>104</v>
      </c>
      <c r="C194" s="51">
        <v>3.04</v>
      </c>
      <c r="D194" s="51">
        <v>3.86</v>
      </c>
      <c r="E194" s="51">
        <v>5.34</v>
      </c>
      <c r="F194" s="51">
        <v>6.64</v>
      </c>
      <c r="G194" s="51">
        <v>7.38</v>
      </c>
      <c r="H194" s="51">
        <v>7.69</v>
      </c>
      <c r="I194" s="51">
        <v>7.26</v>
      </c>
      <c r="J194" s="51">
        <v>6.65</v>
      </c>
      <c r="K194" s="51">
        <v>5.67</v>
      </c>
      <c r="L194" s="51">
        <v>4.43</v>
      </c>
      <c r="M194" s="51">
        <v>3.41</v>
      </c>
      <c r="N194" s="51">
        <v>2.82</v>
      </c>
    </row>
    <row r="195" spans="2:14" hidden="1">
      <c r="B195" s="46" t="s">
        <v>50</v>
      </c>
      <c r="C195" s="51">
        <v>3.83</v>
      </c>
      <c r="D195" s="51">
        <v>4.67</v>
      </c>
      <c r="E195" s="51">
        <v>5.68</v>
      </c>
      <c r="F195" s="51">
        <v>6.62</v>
      </c>
      <c r="G195" s="51">
        <v>6.85</v>
      </c>
      <c r="H195" s="51">
        <v>6.33</v>
      </c>
      <c r="I195" s="51">
        <v>6.65</v>
      </c>
      <c r="J195" s="51">
        <v>6.19</v>
      </c>
      <c r="K195" s="51">
        <v>5.41</v>
      </c>
      <c r="L195" s="51">
        <v>4.8600000000000003</v>
      </c>
      <c r="M195" s="51">
        <v>4.03</v>
      </c>
      <c r="N195" s="51">
        <v>3.49</v>
      </c>
    </row>
    <row r="196" spans="2:14" hidden="1">
      <c r="B196" s="46" t="s">
        <v>49</v>
      </c>
      <c r="C196" s="51">
        <v>1.97</v>
      </c>
      <c r="D196" s="51">
        <v>2.86</v>
      </c>
      <c r="E196" s="51">
        <v>3.93</v>
      </c>
      <c r="F196" s="51">
        <v>4.83</v>
      </c>
      <c r="G196" s="51">
        <v>5.55</v>
      </c>
      <c r="H196" s="51">
        <v>6.03</v>
      </c>
      <c r="I196" s="51">
        <v>5.82</v>
      </c>
      <c r="J196" s="51">
        <v>5.27</v>
      </c>
      <c r="K196" s="51">
        <v>4.37</v>
      </c>
      <c r="L196" s="51">
        <v>3.26</v>
      </c>
      <c r="M196" s="51">
        <v>2.14</v>
      </c>
      <c r="N196" s="51">
        <v>1.73</v>
      </c>
    </row>
    <row r="197" spans="2:14" hidden="1">
      <c r="B197" s="46" t="s">
        <v>115</v>
      </c>
      <c r="C197" s="51">
        <v>1.25</v>
      </c>
      <c r="D197" s="51">
        <v>2.16</v>
      </c>
      <c r="E197" s="51">
        <v>3.21</v>
      </c>
      <c r="F197" s="51">
        <v>4.49</v>
      </c>
      <c r="G197" s="51">
        <v>5.25</v>
      </c>
      <c r="H197" s="51">
        <v>5.67</v>
      </c>
      <c r="I197" s="51">
        <v>6.16</v>
      </c>
      <c r="J197" s="51">
        <v>5.42</v>
      </c>
      <c r="K197" s="51">
        <v>4.13</v>
      </c>
      <c r="L197" s="51">
        <v>2.42</v>
      </c>
      <c r="M197" s="51">
        <v>1.38</v>
      </c>
      <c r="N197" s="51">
        <v>1.04</v>
      </c>
    </row>
    <row r="198" spans="2:14" hidden="1">
      <c r="B198" s="46" t="s">
        <v>53</v>
      </c>
      <c r="C198" s="51">
        <v>1.96</v>
      </c>
      <c r="D198" s="51">
        <v>2.76</v>
      </c>
      <c r="E198" s="51">
        <v>3.71</v>
      </c>
      <c r="F198" s="51">
        <v>4.66</v>
      </c>
      <c r="G198" s="51">
        <v>5.34</v>
      </c>
      <c r="H198" s="51">
        <v>5.63</v>
      </c>
      <c r="I198" s="51">
        <v>5.57</v>
      </c>
      <c r="J198" s="51">
        <v>4.96</v>
      </c>
      <c r="K198" s="51">
        <v>4.26</v>
      </c>
      <c r="L198" s="51">
        <v>3.36</v>
      </c>
      <c r="M198" s="51">
        <v>2.2200000000000002</v>
      </c>
      <c r="N198" s="51">
        <v>1.72</v>
      </c>
    </row>
    <row r="199" spans="2:14" hidden="1">
      <c r="B199" s="46" t="s">
        <v>144</v>
      </c>
      <c r="C199" s="51">
        <v>5.72</v>
      </c>
      <c r="D199" s="51">
        <v>6.54</v>
      </c>
      <c r="E199" s="51">
        <v>7.11</v>
      </c>
      <c r="F199" s="51">
        <v>7.34</v>
      </c>
      <c r="G199" s="51">
        <v>6.43</v>
      </c>
      <c r="H199" s="51">
        <v>5.37</v>
      </c>
      <c r="I199" s="51">
        <v>5.99</v>
      </c>
      <c r="J199" s="51">
        <v>6.38</v>
      </c>
      <c r="K199" s="51">
        <v>6.37</v>
      </c>
      <c r="L199" s="51">
        <v>5.99</v>
      </c>
      <c r="M199" s="51">
        <v>5.49</v>
      </c>
      <c r="N199" s="51">
        <v>5.31</v>
      </c>
    </row>
    <row r="200" spans="2:14" hidden="1">
      <c r="B200" s="169"/>
      <c r="C200" s="169"/>
      <c r="D200" s="169"/>
      <c r="E200" s="169"/>
      <c r="F200" s="169"/>
      <c r="G200" s="169"/>
      <c r="H200" s="169"/>
    </row>
    <row r="201" spans="2:14" ht="36" hidden="1">
      <c r="B201" s="169" t="s">
        <v>173</v>
      </c>
      <c r="C201" s="169"/>
      <c r="D201" s="169"/>
      <c r="E201" s="169"/>
      <c r="F201" s="169"/>
      <c r="G201" s="169"/>
      <c r="H201" s="169"/>
    </row>
    <row r="202" spans="2:14" hidden="1">
      <c r="B202" s="169"/>
      <c r="C202" s="169"/>
      <c r="D202" s="169"/>
      <c r="E202" s="169"/>
      <c r="F202" s="169"/>
      <c r="G202" s="169"/>
      <c r="H202" s="169"/>
    </row>
    <row r="203" spans="2:14" hidden="1">
      <c r="B203" s="169"/>
      <c r="C203" s="169"/>
      <c r="D203" s="169"/>
      <c r="E203" s="169"/>
      <c r="F203" s="169"/>
      <c r="G203" s="169"/>
      <c r="H203" s="169"/>
    </row>
    <row r="204" spans="2:14" hidden="1">
      <c r="B204" s="169"/>
      <c r="C204" s="169"/>
      <c r="D204" s="169"/>
      <c r="E204" s="169"/>
      <c r="F204" s="169"/>
      <c r="G204" s="169"/>
      <c r="H204" s="169"/>
    </row>
    <row r="205" spans="2:14" hidden="1">
      <c r="B205" s="169"/>
      <c r="C205" s="169"/>
      <c r="D205" s="169"/>
      <c r="E205" s="169"/>
      <c r="F205" s="169"/>
      <c r="G205" s="169"/>
      <c r="H205" s="169"/>
    </row>
    <row r="206" spans="2:14" hidden="1">
      <c r="B206" s="169"/>
      <c r="C206" s="169"/>
      <c r="D206" s="169"/>
      <c r="E206" s="169"/>
      <c r="F206" s="169"/>
      <c r="G206" s="169"/>
      <c r="H206" s="169"/>
    </row>
    <row r="207" spans="2:14" hidden="1">
      <c r="B207" s="169"/>
      <c r="C207" s="169"/>
      <c r="D207" s="169"/>
      <c r="E207" s="169"/>
      <c r="F207" s="169"/>
      <c r="G207" s="169"/>
      <c r="H207" s="169"/>
    </row>
    <row r="208" spans="2:14" hidden="1">
      <c r="B208" s="169"/>
      <c r="C208" s="169"/>
      <c r="D208" s="169"/>
      <c r="E208" s="169"/>
      <c r="F208" s="169"/>
      <c r="G208" s="169"/>
      <c r="H208" s="169"/>
    </row>
    <row r="209" spans="2:8" hidden="1">
      <c r="B209" s="169"/>
      <c r="C209" s="169"/>
      <c r="D209" s="169"/>
      <c r="E209" s="169"/>
      <c r="F209" s="169"/>
      <c r="G209" s="169"/>
      <c r="H209" s="169"/>
    </row>
    <row r="210" spans="2:8" hidden="1">
      <c r="B210" s="169"/>
      <c r="C210" s="169"/>
      <c r="D210" s="169"/>
      <c r="E210" s="169"/>
      <c r="F210" s="169"/>
      <c r="G210" s="169"/>
      <c r="H210" s="169"/>
    </row>
    <row r="211" spans="2:8" hidden="1">
      <c r="B211" s="169"/>
      <c r="C211" s="169"/>
      <c r="D211" s="169"/>
      <c r="E211" s="169"/>
      <c r="F211" s="169"/>
      <c r="G211" s="169"/>
      <c r="H211" s="169"/>
    </row>
    <row r="212" spans="2:8" hidden="1">
      <c r="B212" s="169"/>
      <c r="C212" s="169"/>
      <c r="D212" s="169"/>
      <c r="E212" s="169"/>
      <c r="F212" s="169"/>
      <c r="G212" s="169"/>
      <c r="H212" s="169"/>
    </row>
    <row r="213" spans="2:8" hidden="1">
      <c r="B213" s="169"/>
      <c r="C213" s="169"/>
      <c r="D213" s="169"/>
      <c r="E213" s="169"/>
      <c r="F213" s="169"/>
      <c r="G213" s="169"/>
      <c r="H213" s="169"/>
    </row>
    <row r="214" spans="2:8" hidden="1">
      <c r="B214" s="169"/>
      <c r="C214" s="169"/>
      <c r="D214" s="169"/>
      <c r="E214" s="169"/>
      <c r="F214" s="169"/>
      <c r="G214" s="169"/>
      <c r="H214" s="169"/>
    </row>
    <row r="215" spans="2:8" hidden="1">
      <c r="B215" s="169"/>
      <c r="C215" s="169"/>
      <c r="D215" s="169"/>
      <c r="E215" s="169"/>
      <c r="F215" s="169"/>
      <c r="G215" s="169"/>
      <c r="H215" s="169"/>
    </row>
    <row r="216" spans="2:8" hidden="1">
      <c r="B216" s="169"/>
      <c r="C216" s="169"/>
      <c r="D216" s="169"/>
      <c r="E216" s="169"/>
      <c r="F216" s="169"/>
      <c r="G216" s="169"/>
      <c r="H216" s="169"/>
    </row>
    <row r="217" spans="2:8" hidden="1">
      <c r="B217" s="169"/>
      <c r="C217" s="169"/>
      <c r="D217" s="169"/>
      <c r="E217" s="169"/>
      <c r="F217" s="169"/>
      <c r="G217" s="169"/>
      <c r="H217" s="169"/>
    </row>
    <row r="218" spans="2:8" hidden="1">
      <c r="B218" s="169"/>
      <c r="C218" s="169"/>
      <c r="D218" s="169"/>
      <c r="E218" s="169"/>
      <c r="F218" s="169"/>
      <c r="G218" s="169"/>
      <c r="H218" s="169"/>
    </row>
    <row r="219" spans="2:8" hidden="1">
      <c r="B219" s="169"/>
      <c r="C219" s="169"/>
      <c r="D219" s="169"/>
      <c r="E219" s="169"/>
      <c r="F219" s="169"/>
      <c r="G219" s="169"/>
      <c r="H219" s="169"/>
    </row>
    <row r="220" spans="2:8" hidden="1">
      <c r="B220" s="169"/>
      <c r="C220" s="169"/>
      <c r="D220" s="169"/>
      <c r="E220" s="169"/>
      <c r="F220" s="169"/>
      <c r="G220" s="169"/>
      <c r="H220" s="169"/>
    </row>
    <row r="221" spans="2:8" hidden="1">
      <c r="B221" s="169"/>
      <c r="C221" s="169"/>
      <c r="D221" s="169"/>
      <c r="E221" s="169"/>
      <c r="F221" s="169"/>
      <c r="G221" s="169"/>
      <c r="H221" s="169"/>
    </row>
    <row r="222" spans="2:8" hidden="1">
      <c r="B222" s="169"/>
      <c r="C222" s="169"/>
      <c r="D222" s="169"/>
      <c r="E222" s="169"/>
      <c r="F222" s="169"/>
      <c r="G222" s="169"/>
      <c r="H222" s="169"/>
    </row>
    <row r="223" spans="2:8" hidden="1">
      <c r="B223" s="169"/>
      <c r="C223" s="169"/>
      <c r="D223" s="169"/>
      <c r="E223" s="169"/>
      <c r="F223" s="169"/>
      <c r="G223" s="169"/>
      <c r="H223" s="169"/>
    </row>
    <row r="224" spans="2:8" hidden="1">
      <c r="B224" s="169"/>
      <c r="C224" s="169"/>
      <c r="D224" s="169"/>
      <c r="E224" s="169"/>
      <c r="F224" s="169"/>
      <c r="G224" s="169"/>
      <c r="H224" s="169"/>
    </row>
    <row r="225" spans="2:8" hidden="1">
      <c r="B225" s="169"/>
      <c r="C225" s="169"/>
      <c r="D225" s="169"/>
      <c r="E225" s="169"/>
      <c r="F225" s="169"/>
      <c r="G225" s="169"/>
      <c r="H225" s="169"/>
    </row>
    <row r="226" spans="2:8" hidden="1">
      <c r="B226" s="169"/>
      <c r="C226" s="169"/>
      <c r="D226" s="169"/>
      <c r="E226" s="169"/>
      <c r="F226" s="169"/>
      <c r="G226" s="169"/>
      <c r="H226" s="169"/>
    </row>
    <row r="227" spans="2:8" hidden="1">
      <c r="B227" s="169"/>
      <c r="C227" s="169"/>
      <c r="D227" s="169"/>
      <c r="E227" s="169"/>
      <c r="F227" s="169"/>
      <c r="G227" s="169"/>
      <c r="H227" s="169"/>
    </row>
    <row r="228" spans="2:8" hidden="1">
      <c r="B228" s="169"/>
      <c r="C228" s="169"/>
      <c r="D228" s="169"/>
      <c r="E228" s="169"/>
      <c r="F228" s="169"/>
      <c r="G228" s="169"/>
      <c r="H228" s="169"/>
    </row>
    <row r="229" spans="2:8" hidden="1">
      <c r="B229" s="169"/>
      <c r="C229" s="169"/>
      <c r="D229" s="169"/>
      <c r="E229" s="169"/>
      <c r="F229" s="169"/>
      <c r="G229" s="169"/>
      <c r="H229" s="169"/>
    </row>
    <row r="230" spans="2:8" hidden="1">
      <c r="B230" s="169"/>
      <c r="C230" s="169"/>
      <c r="D230" s="169"/>
      <c r="E230" s="169"/>
      <c r="F230" s="169"/>
      <c r="G230" s="169"/>
      <c r="H230" s="169"/>
    </row>
    <row r="231" spans="2:8" hidden="1">
      <c r="B231" s="169"/>
      <c r="C231" s="169"/>
      <c r="D231" s="169"/>
      <c r="E231" s="169"/>
      <c r="F231" s="169"/>
      <c r="G231" s="169"/>
      <c r="H231" s="169"/>
    </row>
    <row r="232" spans="2:8" hidden="1">
      <c r="B232" s="169"/>
      <c r="C232" s="169"/>
      <c r="D232" s="169"/>
      <c r="E232" s="169"/>
      <c r="F232" s="169"/>
      <c r="G232" s="169"/>
      <c r="H232" s="169"/>
    </row>
    <row r="233" spans="2:8" hidden="1">
      <c r="B233" s="169"/>
      <c r="C233" s="169"/>
      <c r="D233" s="169"/>
      <c r="E233" s="169"/>
      <c r="F233" s="169"/>
      <c r="G233" s="169"/>
      <c r="H233" s="169"/>
    </row>
    <row r="234" spans="2:8" hidden="1">
      <c r="B234" s="169"/>
      <c r="C234" s="169"/>
      <c r="D234" s="169"/>
      <c r="E234" s="169"/>
      <c r="F234" s="169"/>
      <c r="G234" s="169"/>
      <c r="H234" s="169"/>
    </row>
    <row r="235" spans="2:8" hidden="1">
      <c r="B235" s="169"/>
      <c r="C235" s="169"/>
      <c r="D235" s="169"/>
      <c r="E235" s="169"/>
      <c r="F235" s="169"/>
      <c r="G235" s="169"/>
      <c r="H235" s="169"/>
    </row>
    <row r="236" spans="2:8" hidden="1">
      <c r="B236" s="169"/>
      <c r="C236" s="169"/>
      <c r="D236" s="169"/>
      <c r="E236" s="169"/>
      <c r="F236" s="169"/>
      <c r="G236" s="169"/>
      <c r="H236" s="169"/>
    </row>
    <row r="237" spans="2:8" hidden="1">
      <c r="B237" s="169"/>
      <c r="C237" s="169"/>
      <c r="D237" s="169"/>
      <c r="E237" s="169"/>
      <c r="F237" s="169"/>
      <c r="G237" s="169"/>
      <c r="H237" s="169"/>
    </row>
    <row r="238" spans="2:8" hidden="1">
      <c r="B238" s="169"/>
      <c r="C238" s="169"/>
      <c r="D238" s="169"/>
      <c r="E238" s="169"/>
      <c r="F238" s="169"/>
      <c r="G238" s="169"/>
      <c r="H238" s="169"/>
    </row>
    <row r="239" spans="2:8" hidden="1">
      <c r="B239" s="169"/>
      <c r="C239" s="169"/>
      <c r="D239" s="169"/>
      <c r="E239" s="169"/>
      <c r="F239" s="169"/>
      <c r="G239" s="169"/>
      <c r="H239" s="169"/>
    </row>
    <row r="240" spans="2:8" hidden="1">
      <c r="B240" s="169"/>
      <c r="C240" s="169"/>
      <c r="D240" s="169"/>
      <c r="E240" s="169"/>
      <c r="F240" s="169"/>
      <c r="G240" s="169"/>
      <c r="H240" s="169"/>
    </row>
    <row r="241" spans="2:8" hidden="1">
      <c r="B241" s="169"/>
      <c r="C241" s="169"/>
      <c r="D241" s="169"/>
      <c r="E241" s="169"/>
      <c r="F241" s="169"/>
      <c r="G241" s="169"/>
      <c r="H241" s="169"/>
    </row>
    <row r="242" spans="2:8" hidden="1">
      <c r="B242" s="169"/>
      <c r="C242" s="169"/>
      <c r="D242" s="169"/>
      <c r="E242" s="169"/>
      <c r="F242" s="169"/>
      <c r="G242" s="169"/>
      <c r="H242" s="169"/>
    </row>
    <row r="243" spans="2:8" hidden="1">
      <c r="B243" s="169"/>
      <c r="C243" s="169"/>
      <c r="D243" s="169"/>
      <c r="E243" s="169"/>
      <c r="F243" s="169"/>
      <c r="G243" s="169"/>
      <c r="H243" s="169"/>
    </row>
    <row r="244" spans="2:8" hidden="1">
      <c r="B244" s="169"/>
      <c r="C244" s="169"/>
      <c r="D244" s="169"/>
      <c r="E244" s="169"/>
      <c r="F244" s="169"/>
      <c r="G244" s="169"/>
      <c r="H244" s="169"/>
    </row>
    <row r="245" spans="2:8" hidden="1">
      <c r="B245" s="169"/>
      <c r="C245" s="169"/>
      <c r="D245" s="169"/>
      <c r="E245" s="169"/>
      <c r="F245" s="169"/>
      <c r="G245" s="169"/>
      <c r="H245" s="169"/>
    </row>
    <row r="246" spans="2:8" hidden="1">
      <c r="B246" s="169"/>
      <c r="C246" s="169"/>
      <c r="D246" s="169"/>
      <c r="E246" s="169"/>
      <c r="F246" s="169"/>
      <c r="G246" s="169"/>
      <c r="H246" s="169"/>
    </row>
    <row r="247" spans="2:8" hidden="1">
      <c r="B247" s="169"/>
      <c r="C247" s="169"/>
      <c r="D247" s="169"/>
      <c r="E247" s="169"/>
      <c r="F247" s="169"/>
      <c r="G247" s="169"/>
      <c r="H247" s="169"/>
    </row>
    <row r="248" spans="2:8" hidden="1">
      <c r="B248" s="169"/>
      <c r="C248" s="169"/>
      <c r="D248" s="169"/>
      <c r="E248" s="169"/>
      <c r="F248" s="169"/>
      <c r="G248" s="169"/>
      <c r="H248" s="169"/>
    </row>
    <row r="249" spans="2:8" hidden="1">
      <c r="B249" s="169"/>
      <c r="C249" s="169"/>
      <c r="D249" s="169"/>
      <c r="E249" s="169"/>
      <c r="F249" s="169"/>
      <c r="G249" s="169"/>
      <c r="H249" s="169"/>
    </row>
    <row r="250" spans="2:8" hidden="1">
      <c r="B250" s="169"/>
      <c r="C250" s="169"/>
      <c r="D250" s="169"/>
      <c r="E250" s="169"/>
      <c r="F250" s="169"/>
      <c r="G250" s="169"/>
      <c r="H250" s="169"/>
    </row>
    <row r="251" spans="2:8" hidden="1">
      <c r="B251" s="169"/>
      <c r="C251" s="169"/>
      <c r="D251" s="169"/>
      <c r="E251" s="169"/>
      <c r="F251" s="169"/>
      <c r="G251" s="169"/>
      <c r="H251" s="169"/>
    </row>
    <row r="252" spans="2:8" hidden="1">
      <c r="B252" s="169"/>
      <c r="C252" s="169"/>
      <c r="D252" s="169"/>
      <c r="E252" s="169"/>
      <c r="F252" s="169"/>
      <c r="G252" s="169"/>
      <c r="H252" s="169"/>
    </row>
    <row r="253" spans="2:8" hidden="1">
      <c r="B253" s="169"/>
      <c r="C253" s="169"/>
      <c r="D253" s="169"/>
      <c r="E253" s="169"/>
      <c r="F253" s="169"/>
      <c r="G253" s="169"/>
      <c r="H253" s="169"/>
    </row>
    <row r="254" spans="2:8" hidden="1">
      <c r="B254" s="169"/>
      <c r="C254" s="169"/>
      <c r="D254" s="169"/>
      <c r="E254" s="169"/>
      <c r="F254" s="169"/>
      <c r="G254" s="169"/>
      <c r="H254" s="169"/>
    </row>
    <row r="255" spans="2:8" hidden="1">
      <c r="B255" s="169"/>
      <c r="C255" s="169"/>
      <c r="D255" s="169"/>
      <c r="E255" s="169"/>
      <c r="F255" s="169"/>
      <c r="G255" s="169"/>
      <c r="H255" s="169"/>
    </row>
    <row r="256" spans="2:8" hidden="1">
      <c r="B256" s="169"/>
      <c r="C256" s="169"/>
      <c r="D256" s="169"/>
      <c r="E256" s="169"/>
      <c r="F256" s="169"/>
      <c r="G256" s="169"/>
      <c r="H256" s="169"/>
    </row>
    <row r="257" spans="2:8" hidden="1">
      <c r="B257" s="169"/>
      <c r="C257" s="169"/>
      <c r="D257" s="169"/>
      <c r="E257" s="169"/>
      <c r="F257" s="169"/>
      <c r="G257" s="169"/>
      <c r="H257" s="169"/>
    </row>
    <row r="258" spans="2:8" hidden="1">
      <c r="B258" s="169"/>
      <c r="C258" s="169"/>
      <c r="D258" s="169"/>
      <c r="E258" s="169"/>
      <c r="F258" s="169"/>
      <c r="G258" s="169"/>
      <c r="H258" s="169"/>
    </row>
    <row r="259" spans="2:8" hidden="1">
      <c r="B259" s="169"/>
      <c r="C259" s="169"/>
      <c r="D259" s="169"/>
      <c r="E259" s="169"/>
      <c r="F259" s="169"/>
      <c r="G259" s="169"/>
      <c r="H259" s="169"/>
    </row>
    <row r="260" spans="2:8" hidden="1">
      <c r="B260" s="169"/>
      <c r="C260" s="169"/>
      <c r="D260" s="169"/>
      <c r="E260" s="169"/>
      <c r="F260" s="169"/>
      <c r="G260" s="169"/>
      <c r="H260" s="169"/>
    </row>
    <row r="261" spans="2:8" hidden="1">
      <c r="B261" s="169"/>
      <c r="C261" s="169"/>
      <c r="D261" s="169"/>
      <c r="E261" s="169"/>
      <c r="F261" s="169"/>
      <c r="G261" s="169"/>
      <c r="H261" s="169"/>
    </row>
    <row r="262" spans="2:8" hidden="1">
      <c r="B262" s="169"/>
      <c r="C262" s="169"/>
      <c r="D262" s="169"/>
      <c r="E262" s="169"/>
      <c r="F262" s="169"/>
      <c r="G262" s="169"/>
      <c r="H262" s="169"/>
    </row>
    <row r="263" spans="2:8" hidden="1">
      <c r="B263" s="169"/>
      <c r="C263" s="169"/>
      <c r="D263" s="169"/>
      <c r="E263" s="169"/>
      <c r="F263" s="169"/>
      <c r="G263" s="169"/>
      <c r="H263" s="169"/>
    </row>
    <row r="264" spans="2:8" hidden="1">
      <c r="B264" s="169"/>
      <c r="C264" s="169"/>
      <c r="D264" s="169"/>
      <c r="E264" s="169"/>
      <c r="F264" s="169"/>
      <c r="G264" s="169"/>
      <c r="H264" s="169"/>
    </row>
    <row r="265" spans="2:8" hidden="1">
      <c r="B265" s="169"/>
      <c r="C265" s="169"/>
      <c r="D265" s="169"/>
      <c r="E265" s="169"/>
      <c r="F265" s="169"/>
      <c r="G265" s="169"/>
      <c r="H265" s="169"/>
    </row>
    <row r="266" spans="2:8" hidden="1">
      <c r="B266" s="169"/>
      <c r="C266" s="169"/>
      <c r="D266" s="169"/>
      <c r="E266" s="169"/>
      <c r="F266" s="169"/>
      <c r="G266" s="169"/>
      <c r="H266" s="169"/>
    </row>
    <row r="267" spans="2:8" hidden="1">
      <c r="B267" s="169"/>
      <c r="C267" s="169"/>
      <c r="D267" s="169"/>
      <c r="E267" s="169"/>
      <c r="F267" s="169"/>
      <c r="G267" s="169"/>
      <c r="H267" s="169"/>
    </row>
    <row r="268" spans="2:8" hidden="1">
      <c r="B268" s="169"/>
      <c r="C268" s="169"/>
      <c r="D268" s="169"/>
      <c r="E268" s="169"/>
      <c r="F268" s="169"/>
      <c r="G268" s="169"/>
      <c r="H268" s="169"/>
    </row>
    <row r="269" spans="2:8" hidden="1">
      <c r="B269" s="169"/>
      <c r="C269" s="169"/>
      <c r="D269" s="169"/>
      <c r="E269" s="169"/>
      <c r="F269" s="169"/>
      <c r="G269" s="169"/>
      <c r="H269" s="169"/>
    </row>
    <row r="270" spans="2:8" hidden="1">
      <c r="B270" s="169"/>
      <c r="C270" s="169"/>
      <c r="D270" s="169"/>
      <c r="E270" s="169"/>
      <c r="F270" s="169"/>
      <c r="G270" s="169"/>
      <c r="H270" s="169"/>
    </row>
    <row r="271" spans="2:8" hidden="1">
      <c r="B271" s="169"/>
      <c r="C271" s="169"/>
      <c r="D271" s="169"/>
      <c r="E271" s="169"/>
      <c r="F271" s="169"/>
      <c r="G271" s="169"/>
      <c r="H271" s="169"/>
    </row>
    <row r="272" spans="2:8" hidden="1">
      <c r="B272" s="169"/>
      <c r="C272" s="169"/>
      <c r="D272" s="169"/>
      <c r="E272" s="169"/>
      <c r="F272" s="169"/>
      <c r="G272" s="169"/>
      <c r="H272" s="169"/>
    </row>
    <row r="273" spans="2:8" hidden="1">
      <c r="B273" s="169"/>
      <c r="C273" s="169"/>
      <c r="D273" s="169"/>
      <c r="E273" s="169"/>
      <c r="F273" s="169"/>
      <c r="G273" s="169"/>
      <c r="H273" s="169"/>
    </row>
    <row r="274" spans="2:8" hidden="1">
      <c r="B274" s="169"/>
      <c r="C274" s="169"/>
      <c r="D274" s="169"/>
      <c r="E274" s="169"/>
      <c r="F274" s="169"/>
      <c r="G274" s="169"/>
      <c r="H274" s="169"/>
    </row>
    <row r="275" spans="2:8" hidden="1">
      <c r="B275" s="169"/>
      <c r="C275" s="169"/>
      <c r="D275" s="169"/>
      <c r="E275" s="169"/>
      <c r="F275" s="169"/>
      <c r="G275" s="169"/>
      <c r="H275" s="169"/>
    </row>
    <row r="276" spans="2:8" hidden="1">
      <c r="B276" s="169"/>
      <c r="C276" s="169"/>
      <c r="D276" s="169"/>
      <c r="E276" s="169"/>
      <c r="F276" s="169"/>
      <c r="G276" s="169"/>
      <c r="H276" s="169"/>
    </row>
    <row r="277" spans="2:8" hidden="1">
      <c r="B277" s="169"/>
      <c r="C277" s="169"/>
      <c r="D277" s="169"/>
      <c r="E277" s="169"/>
      <c r="F277" s="169"/>
      <c r="G277" s="169"/>
      <c r="H277" s="169"/>
    </row>
    <row r="278" spans="2:8" hidden="1">
      <c r="B278" s="169"/>
      <c r="C278" s="169"/>
      <c r="D278" s="169"/>
      <c r="E278" s="169"/>
      <c r="F278" s="169"/>
      <c r="G278" s="169"/>
      <c r="H278" s="169"/>
    </row>
    <row r="279" spans="2:8" hidden="1">
      <c r="B279" s="169"/>
      <c r="C279" s="169"/>
      <c r="D279" s="169"/>
      <c r="E279" s="169"/>
      <c r="F279" s="169"/>
      <c r="G279" s="169"/>
      <c r="H279" s="169"/>
    </row>
    <row r="280" spans="2:8" hidden="1">
      <c r="B280" s="169"/>
      <c r="C280" s="169"/>
      <c r="D280" s="169"/>
      <c r="E280" s="169"/>
      <c r="F280" s="169"/>
      <c r="G280" s="169"/>
      <c r="H280" s="169"/>
    </row>
    <row r="281" spans="2:8" hidden="1">
      <c r="B281" s="169"/>
      <c r="C281" s="169"/>
      <c r="D281" s="169"/>
      <c r="E281" s="169"/>
      <c r="F281" s="169"/>
      <c r="G281" s="169"/>
      <c r="H281" s="169"/>
    </row>
    <row r="282" spans="2:8" hidden="1">
      <c r="B282" s="169"/>
      <c r="C282" s="169"/>
      <c r="D282" s="169"/>
      <c r="E282" s="169"/>
      <c r="F282" s="169"/>
      <c r="G282" s="169"/>
      <c r="H282" s="169"/>
    </row>
    <row r="283" spans="2:8" hidden="1">
      <c r="B283" s="169"/>
      <c r="C283" s="169"/>
      <c r="D283" s="169"/>
      <c r="E283" s="169"/>
      <c r="F283" s="169"/>
      <c r="G283" s="169"/>
      <c r="H283" s="169"/>
    </row>
    <row r="284" spans="2:8" hidden="1">
      <c r="B284" s="169"/>
      <c r="C284" s="169"/>
      <c r="D284" s="169"/>
      <c r="E284" s="169"/>
      <c r="F284" s="169"/>
      <c r="G284" s="169"/>
      <c r="H284" s="169"/>
    </row>
    <row r="285" spans="2:8" hidden="1">
      <c r="B285" s="169"/>
      <c r="C285" s="169"/>
      <c r="D285" s="169"/>
      <c r="E285" s="169"/>
      <c r="F285" s="169"/>
      <c r="G285" s="169"/>
      <c r="H285" s="169"/>
    </row>
    <row r="286" spans="2:8" hidden="1">
      <c r="B286" s="169"/>
      <c r="C286" s="169"/>
      <c r="D286" s="169"/>
      <c r="E286" s="169"/>
      <c r="F286" s="169"/>
      <c r="G286" s="169"/>
      <c r="H286" s="169"/>
    </row>
    <row r="287" spans="2:8" hidden="1">
      <c r="B287" s="169"/>
      <c r="C287" s="169"/>
      <c r="D287" s="169"/>
      <c r="E287" s="169"/>
      <c r="F287" s="169"/>
      <c r="G287" s="169"/>
      <c r="H287" s="169"/>
    </row>
    <row r="288" spans="2:8" hidden="1">
      <c r="B288" s="169"/>
      <c r="C288" s="169"/>
      <c r="D288" s="169"/>
      <c r="E288" s="169"/>
      <c r="F288" s="169"/>
      <c r="G288" s="169"/>
      <c r="H288" s="169"/>
    </row>
    <row r="289" spans="2:8" hidden="1">
      <c r="B289" s="169"/>
      <c r="C289" s="169"/>
      <c r="D289" s="169"/>
      <c r="E289" s="169"/>
      <c r="F289" s="169"/>
      <c r="G289" s="169"/>
      <c r="H289" s="169"/>
    </row>
    <row r="290" spans="2:8" hidden="1">
      <c r="B290" s="169"/>
      <c r="C290" s="169"/>
      <c r="D290" s="169"/>
      <c r="E290" s="169"/>
      <c r="F290" s="169"/>
      <c r="G290" s="169"/>
      <c r="H290" s="169"/>
    </row>
    <row r="291" spans="2:8" hidden="1">
      <c r="B291" s="169"/>
      <c r="C291" s="169"/>
      <c r="D291" s="169"/>
      <c r="E291" s="169"/>
      <c r="F291" s="169"/>
      <c r="G291" s="169"/>
      <c r="H291" s="169"/>
    </row>
    <row r="292" spans="2:8" hidden="1">
      <c r="B292" s="169"/>
      <c r="C292" s="169"/>
      <c r="D292" s="169"/>
      <c r="E292" s="169"/>
      <c r="F292" s="169"/>
      <c r="G292" s="169"/>
      <c r="H292" s="169"/>
    </row>
    <row r="293" spans="2:8" hidden="1">
      <c r="B293" s="169"/>
      <c r="C293" s="169"/>
      <c r="D293" s="169"/>
      <c r="E293" s="169"/>
      <c r="F293" s="169"/>
      <c r="G293" s="169"/>
      <c r="H293" s="169"/>
    </row>
    <row r="294" spans="2:8" hidden="1">
      <c r="B294" s="169"/>
      <c r="C294" s="169"/>
      <c r="D294" s="169"/>
      <c r="E294" s="169"/>
      <c r="F294" s="169"/>
      <c r="G294" s="169"/>
      <c r="H294" s="169"/>
    </row>
    <row r="295" spans="2:8" hidden="1">
      <c r="B295" s="169"/>
      <c r="C295" s="169"/>
      <c r="D295" s="169"/>
      <c r="E295" s="169"/>
      <c r="F295" s="169"/>
      <c r="G295" s="169"/>
      <c r="H295" s="169"/>
    </row>
    <row r="296" spans="2:8" hidden="1">
      <c r="B296" s="169"/>
      <c r="C296" s="169"/>
      <c r="D296" s="169"/>
      <c r="E296" s="169"/>
      <c r="F296" s="169"/>
      <c r="G296" s="169"/>
      <c r="H296" s="169"/>
    </row>
    <row r="297" spans="2:8" hidden="1">
      <c r="B297" s="169"/>
      <c r="C297" s="169"/>
      <c r="D297" s="169"/>
      <c r="E297" s="169"/>
      <c r="F297" s="169"/>
      <c r="G297" s="169"/>
      <c r="H297" s="169"/>
    </row>
    <row r="298" spans="2:8" hidden="1">
      <c r="B298" s="169"/>
      <c r="C298" s="169"/>
      <c r="D298" s="169"/>
      <c r="E298" s="169"/>
      <c r="F298" s="169"/>
      <c r="G298" s="169"/>
      <c r="H298" s="169"/>
    </row>
    <row r="299" spans="2:8" hidden="1">
      <c r="B299" s="169"/>
      <c r="C299" s="169"/>
      <c r="D299" s="169"/>
      <c r="E299" s="169"/>
      <c r="F299" s="169"/>
      <c r="G299" s="169"/>
      <c r="H299" s="169"/>
    </row>
    <row r="300" spans="2:8" hidden="1">
      <c r="B300" s="169"/>
      <c r="C300" s="169"/>
      <c r="D300" s="169"/>
      <c r="E300" s="169"/>
      <c r="F300" s="169"/>
      <c r="G300" s="169"/>
      <c r="H300" s="169"/>
    </row>
    <row r="301" spans="2:8" hidden="1">
      <c r="B301" s="169"/>
      <c r="C301" s="169"/>
      <c r="D301" s="169"/>
      <c r="E301" s="169"/>
      <c r="F301" s="169"/>
      <c r="G301" s="169"/>
      <c r="H301" s="169"/>
    </row>
    <row r="302" spans="2:8" hidden="1">
      <c r="B302" s="169"/>
      <c r="C302" s="169"/>
      <c r="D302" s="169"/>
      <c r="E302" s="169"/>
      <c r="F302" s="169"/>
      <c r="G302" s="169"/>
      <c r="H302" s="169"/>
    </row>
    <row r="303" spans="2:8">
      <c r="B303" s="169"/>
      <c r="C303" s="169"/>
      <c r="D303" s="169"/>
      <c r="E303" s="169"/>
      <c r="F303" s="169"/>
      <c r="G303" s="169"/>
      <c r="H303" s="169"/>
    </row>
    <row r="304" spans="2:8">
      <c r="B304" s="169"/>
      <c r="C304" s="169"/>
      <c r="D304" s="169"/>
      <c r="E304" s="169"/>
      <c r="F304" s="169"/>
      <c r="G304" s="169"/>
      <c r="H304" s="169"/>
    </row>
    <row r="305" spans="2:8">
      <c r="B305" s="169"/>
      <c r="C305" s="169"/>
      <c r="D305" s="169"/>
      <c r="E305" s="169"/>
      <c r="F305" s="169"/>
      <c r="G305" s="169"/>
      <c r="H305" s="169"/>
    </row>
    <row r="306" spans="2:8">
      <c r="B306" s="169"/>
      <c r="C306" s="169"/>
      <c r="D306" s="169"/>
      <c r="E306" s="169"/>
      <c r="F306" s="169"/>
      <c r="G306" s="169"/>
      <c r="H306" s="169"/>
    </row>
    <row r="307" spans="2:8">
      <c r="B307" s="169"/>
      <c r="C307" s="169"/>
      <c r="D307" s="169"/>
      <c r="E307" s="169"/>
      <c r="F307" s="169"/>
      <c r="G307" s="169"/>
      <c r="H307" s="169"/>
    </row>
    <row r="308" spans="2:8">
      <c r="B308" s="169"/>
      <c r="C308" s="169"/>
      <c r="D308" s="169"/>
      <c r="E308" s="169"/>
      <c r="F308" s="169"/>
      <c r="G308" s="169"/>
      <c r="H308" s="169"/>
    </row>
    <row r="309" spans="2:8">
      <c r="B309" s="169"/>
      <c r="C309" s="169"/>
      <c r="D309" s="169"/>
      <c r="E309" s="169"/>
      <c r="F309" s="169"/>
      <c r="G309" s="169"/>
      <c r="H309" s="169"/>
    </row>
    <row r="310" spans="2:8">
      <c r="B310" s="169"/>
      <c r="C310" s="169"/>
      <c r="D310" s="169"/>
      <c r="E310" s="169"/>
      <c r="F310" s="169"/>
      <c r="G310" s="169"/>
      <c r="H310" s="169"/>
    </row>
    <row r="311" spans="2:8">
      <c r="B311" s="169"/>
      <c r="C311" s="169"/>
      <c r="D311" s="169"/>
      <c r="E311" s="169"/>
      <c r="F311" s="169"/>
      <c r="G311" s="169"/>
      <c r="H311" s="169"/>
    </row>
    <row r="312" spans="2:8">
      <c r="B312" s="169"/>
      <c r="C312" s="169"/>
      <c r="D312" s="169"/>
      <c r="E312" s="169"/>
      <c r="F312" s="169"/>
      <c r="G312" s="169"/>
      <c r="H312" s="169"/>
    </row>
    <row r="313" spans="2:8">
      <c r="B313" s="169"/>
      <c r="C313" s="169"/>
      <c r="D313" s="169"/>
      <c r="E313" s="169"/>
      <c r="F313" s="169"/>
      <c r="G313" s="169"/>
      <c r="H313" s="169"/>
    </row>
    <row r="314" spans="2:8">
      <c r="B314" s="169"/>
      <c r="C314" s="169"/>
      <c r="D314" s="169"/>
      <c r="E314" s="169"/>
      <c r="F314" s="169"/>
      <c r="G314" s="169"/>
      <c r="H314" s="169"/>
    </row>
    <row r="315" spans="2:8">
      <c r="B315" s="169"/>
      <c r="C315" s="169"/>
      <c r="D315" s="169"/>
      <c r="E315" s="169"/>
      <c r="F315" s="169"/>
      <c r="G315" s="169"/>
      <c r="H315" s="169"/>
    </row>
    <row r="316" spans="2:8">
      <c r="B316" s="169"/>
      <c r="C316" s="169"/>
      <c r="D316" s="169"/>
      <c r="E316" s="169"/>
      <c r="F316" s="169"/>
      <c r="G316" s="169"/>
      <c r="H316" s="169"/>
    </row>
    <row r="317" spans="2:8">
      <c r="B317" s="169"/>
      <c r="C317" s="169"/>
      <c r="D317" s="169"/>
      <c r="E317" s="169"/>
      <c r="F317" s="169"/>
      <c r="G317" s="169"/>
      <c r="H317" s="169"/>
    </row>
    <row r="318" spans="2:8">
      <c r="B318" s="169"/>
      <c r="C318" s="169"/>
      <c r="D318" s="169"/>
      <c r="E318" s="169"/>
      <c r="F318" s="169"/>
      <c r="G318" s="169"/>
      <c r="H318" s="169"/>
    </row>
    <row r="319" spans="2:8">
      <c r="B319" s="169"/>
      <c r="C319" s="169"/>
      <c r="D319" s="169"/>
      <c r="E319" s="169"/>
      <c r="F319" s="169"/>
      <c r="G319" s="169"/>
      <c r="H319" s="169"/>
    </row>
    <row r="320" spans="2:8">
      <c r="B320" s="169"/>
      <c r="C320" s="169"/>
      <c r="D320" s="169"/>
      <c r="E320" s="169"/>
      <c r="F320" s="169"/>
      <c r="G320" s="169"/>
      <c r="H320" s="169"/>
    </row>
    <row r="321" spans="2:8">
      <c r="B321" s="169"/>
      <c r="C321" s="169"/>
      <c r="D321" s="169"/>
      <c r="E321" s="169"/>
      <c r="F321" s="169"/>
      <c r="G321" s="169"/>
      <c r="H321" s="169"/>
    </row>
    <row r="322" spans="2:8">
      <c r="B322" s="169"/>
      <c r="C322" s="169"/>
      <c r="D322" s="169"/>
      <c r="E322" s="169"/>
      <c r="F322" s="169"/>
      <c r="G322" s="169"/>
      <c r="H322" s="169"/>
    </row>
    <row r="323" spans="2:8">
      <c r="B323" s="169"/>
      <c r="C323" s="169"/>
      <c r="D323" s="169"/>
      <c r="E323" s="169"/>
      <c r="F323" s="169"/>
      <c r="G323" s="169"/>
      <c r="H323" s="169"/>
    </row>
    <row r="324" spans="2:8">
      <c r="B324" s="169"/>
      <c r="C324" s="169"/>
      <c r="D324" s="169"/>
      <c r="E324" s="169"/>
      <c r="F324" s="169"/>
      <c r="G324" s="169"/>
      <c r="H324" s="169"/>
    </row>
    <row r="325" spans="2:8">
      <c r="B325" s="169"/>
      <c r="C325" s="169"/>
      <c r="D325" s="169"/>
      <c r="E325" s="169"/>
      <c r="F325" s="169"/>
      <c r="G325" s="169"/>
      <c r="H325" s="169"/>
    </row>
    <row r="326" spans="2:8">
      <c r="B326" s="169"/>
      <c r="C326" s="169"/>
      <c r="D326" s="169"/>
      <c r="E326" s="169"/>
      <c r="F326" s="169"/>
      <c r="G326" s="169"/>
      <c r="H326" s="169"/>
    </row>
    <row r="327" spans="2:8">
      <c r="B327" s="169"/>
      <c r="C327" s="169"/>
      <c r="D327" s="169"/>
      <c r="E327" s="169"/>
      <c r="F327" s="169"/>
      <c r="G327" s="169"/>
      <c r="H327" s="169"/>
    </row>
    <row r="328" spans="2:8">
      <c r="B328" s="169"/>
      <c r="C328" s="169"/>
      <c r="D328" s="169"/>
      <c r="E328" s="169"/>
      <c r="F328" s="169"/>
      <c r="G328" s="169"/>
      <c r="H328" s="169"/>
    </row>
    <row r="329" spans="2:8">
      <c r="B329" s="169"/>
      <c r="C329" s="169"/>
      <c r="D329" s="169"/>
      <c r="E329" s="169"/>
      <c r="F329" s="169"/>
      <c r="G329" s="169"/>
      <c r="H329" s="169"/>
    </row>
    <row r="330" spans="2:8">
      <c r="B330" s="169"/>
      <c r="C330" s="169"/>
      <c r="D330" s="169"/>
      <c r="E330" s="169"/>
      <c r="F330" s="169"/>
      <c r="G330" s="169"/>
      <c r="H330" s="169"/>
    </row>
    <row r="331" spans="2:8">
      <c r="B331" s="169"/>
      <c r="C331" s="169"/>
      <c r="D331" s="169"/>
      <c r="E331" s="169"/>
      <c r="F331" s="169"/>
      <c r="G331" s="169"/>
      <c r="H331" s="169"/>
    </row>
    <row r="332" spans="2:8">
      <c r="B332" s="169"/>
      <c r="C332" s="169"/>
      <c r="D332" s="169"/>
      <c r="E332" s="169"/>
      <c r="F332" s="169"/>
      <c r="G332" s="169"/>
      <c r="H332" s="169"/>
    </row>
    <row r="333" spans="2:8">
      <c r="B333" s="169"/>
      <c r="C333" s="169"/>
      <c r="D333" s="169"/>
      <c r="E333" s="169"/>
      <c r="F333" s="169"/>
      <c r="G333" s="169"/>
      <c r="H333" s="169"/>
    </row>
    <row r="334" spans="2:8">
      <c r="B334" s="169"/>
      <c r="C334" s="169"/>
      <c r="D334" s="169"/>
      <c r="E334" s="169"/>
      <c r="F334" s="169"/>
      <c r="G334" s="169"/>
      <c r="H334" s="169"/>
    </row>
    <row r="335" spans="2:8">
      <c r="B335" s="169"/>
      <c r="C335" s="169"/>
      <c r="D335" s="169"/>
      <c r="E335" s="169"/>
      <c r="F335" s="169"/>
      <c r="G335" s="169"/>
      <c r="H335" s="169"/>
    </row>
    <row r="336" spans="2:8">
      <c r="B336" s="169"/>
      <c r="C336" s="169"/>
      <c r="D336" s="169"/>
      <c r="E336" s="169"/>
      <c r="F336" s="169"/>
      <c r="G336" s="169"/>
      <c r="H336" s="169"/>
    </row>
    <row r="337" spans="2:8">
      <c r="B337" s="169"/>
      <c r="C337" s="169"/>
      <c r="D337" s="169"/>
      <c r="E337" s="169"/>
      <c r="F337" s="169"/>
      <c r="G337" s="169"/>
      <c r="H337" s="169"/>
    </row>
    <row r="338" spans="2:8">
      <c r="B338" s="169"/>
      <c r="C338" s="169"/>
      <c r="D338" s="169"/>
      <c r="E338" s="169"/>
      <c r="F338" s="169"/>
      <c r="G338" s="169"/>
      <c r="H338" s="169"/>
    </row>
    <row r="339" spans="2:8">
      <c r="B339" s="169"/>
      <c r="C339" s="169"/>
      <c r="D339" s="169"/>
      <c r="E339" s="169"/>
      <c r="F339" s="169"/>
      <c r="G339" s="169"/>
      <c r="H339" s="169"/>
    </row>
    <row r="340" spans="2:8">
      <c r="B340" s="169"/>
      <c r="C340" s="169"/>
      <c r="D340" s="169"/>
      <c r="E340" s="169"/>
      <c r="F340" s="169"/>
      <c r="G340" s="169"/>
      <c r="H340" s="169"/>
    </row>
    <row r="341" spans="2:8">
      <c r="B341" s="169"/>
      <c r="C341" s="169"/>
      <c r="D341" s="169"/>
      <c r="E341" s="169"/>
      <c r="F341" s="169"/>
      <c r="G341" s="169"/>
      <c r="H341" s="169"/>
    </row>
    <row r="342" spans="2:8">
      <c r="B342" s="169"/>
      <c r="C342" s="169"/>
      <c r="D342" s="169"/>
      <c r="E342" s="169"/>
      <c r="F342" s="169"/>
      <c r="G342" s="169"/>
      <c r="H342" s="169"/>
    </row>
    <row r="343" spans="2:8">
      <c r="B343" s="169"/>
      <c r="C343" s="169"/>
      <c r="D343" s="169"/>
      <c r="E343" s="169"/>
      <c r="F343" s="169"/>
      <c r="G343" s="169"/>
      <c r="H343" s="169"/>
    </row>
    <row r="344" spans="2:8">
      <c r="B344" s="169"/>
      <c r="C344" s="169"/>
      <c r="D344" s="169"/>
      <c r="E344" s="169"/>
      <c r="F344" s="169"/>
      <c r="G344" s="169"/>
      <c r="H344" s="169"/>
    </row>
    <row r="345" spans="2:8">
      <c r="B345" s="169"/>
      <c r="C345" s="169"/>
      <c r="D345" s="169"/>
      <c r="E345" s="169"/>
      <c r="F345" s="169"/>
      <c r="G345" s="169"/>
      <c r="H345" s="169"/>
    </row>
    <row r="346" spans="2:8">
      <c r="B346" s="169"/>
      <c r="C346" s="169"/>
      <c r="D346" s="169"/>
      <c r="E346" s="169"/>
      <c r="F346" s="169"/>
      <c r="G346" s="169"/>
      <c r="H346" s="169"/>
    </row>
    <row r="347" spans="2:8">
      <c r="B347" s="169"/>
      <c r="C347" s="169"/>
      <c r="D347" s="169"/>
      <c r="E347" s="169"/>
      <c r="F347" s="169"/>
      <c r="G347" s="169"/>
      <c r="H347" s="169"/>
    </row>
    <row r="348" spans="2:8">
      <c r="B348" s="169"/>
      <c r="C348" s="169"/>
      <c r="D348" s="169"/>
      <c r="E348" s="169"/>
      <c r="F348" s="169"/>
      <c r="G348" s="169"/>
      <c r="H348" s="169"/>
    </row>
    <row r="349" spans="2:8">
      <c r="B349" s="169"/>
      <c r="C349" s="169"/>
      <c r="D349" s="169"/>
      <c r="E349" s="169"/>
      <c r="F349" s="169"/>
      <c r="G349" s="169"/>
      <c r="H349" s="169"/>
    </row>
    <row r="350" spans="2:8">
      <c r="B350" s="169"/>
      <c r="C350" s="169"/>
      <c r="D350" s="169"/>
      <c r="E350" s="169"/>
      <c r="F350" s="169"/>
      <c r="G350" s="169"/>
      <c r="H350" s="169"/>
    </row>
    <row r="351" spans="2:8">
      <c r="B351" s="169"/>
      <c r="C351" s="169"/>
      <c r="D351" s="169"/>
      <c r="E351" s="169"/>
      <c r="F351" s="169"/>
      <c r="G351" s="169"/>
      <c r="H351" s="169"/>
    </row>
    <row r="352" spans="2:8">
      <c r="B352" s="169"/>
      <c r="C352" s="169"/>
      <c r="D352" s="169"/>
      <c r="E352" s="169"/>
      <c r="F352" s="169"/>
      <c r="G352" s="169"/>
      <c r="H352" s="169"/>
    </row>
    <row r="353" spans="2:8">
      <c r="B353" s="169"/>
      <c r="C353" s="169"/>
      <c r="D353" s="169"/>
      <c r="E353" s="169"/>
      <c r="F353" s="169"/>
      <c r="G353" s="169"/>
      <c r="H353" s="169"/>
    </row>
    <row r="354" spans="2:8">
      <c r="B354" s="169"/>
      <c r="C354" s="169"/>
      <c r="D354" s="169"/>
      <c r="E354" s="169"/>
      <c r="F354" s="169"/>
      <c r="G354" s="169"/>
      <c r="H354" s="169"/>
    </row>
    <row r="355" spans="2:8">
      <c r="B355" s="169"/>
      <c r="C355" s="169"/>
      <c r="D355" s="169"/>
      <c r="E355" s="169"/>
      <c r="F355" s="169"/>
      <c r="G355" s="169"/>
      <c r="H355" s="169"/>
    </row>
    <row r="356" spans="2:8">
      <c r="B356" s="169"/>
      <c r="C356" s="169"/>
      <c r="D356" s="169"/>
      <c r="E356" s="169"/>
      <c r="F356" s="169"/>
      <c r="G356" s="169"/>
      <c r="H356" s="169"/>
    </row>
    <row r="357" spans="2:8">
      <c r="B357" s="169"/>
      <c r="C357" s="169"/>
      <c r="D357" s="169"/>
      <c r="E357" s="169"/>
      <c r="F357" s="169"/>
      <c r="G357" s="169"/>
      <c r="H357" s="169"/>
    </row>
    <row r="358" spans="2:8">
      <c r="B358" s="169"/>
      <c r="C358" s="169"/>
      <c r="D358" s="169"/>
      <c r="E358" s="169"/>
      <c r="F358" s="169"/>
      <c r="G358" s="169"/>
      <c r="H358" s="169"/>
    </row>
    <row r="359" spans="2:8">
      <c r="B359" s="169"/>
      <c r="C359" s="169"/>
      <c r="D359" s="169"/>
      <c r="E359" s="169"/>
      <c r="F359" s="169"/>
      <c r="G359" s="169"/>
      <c r="H359" s="169"/>
    </row>
    <row r="360" spans="2:8">
      <c r="B360" s="169"/>
      <c r="C360" s="169"/>
      <c r="D360" s="169"/>
      <c r="E360" s="169"/>
      <c r="F360" s="169"/>
      <c r="G360" s="169"/>
      <c r="H360" s="169"/>
    </row>
    <row r="361" spans="2:8">
      <c r="B361" s="169"/>
      <c r="C361" s="169"/>
      <c r="D361" s="169"/>
      <c r="E361" s="169"/>
      <c r="F361" s="169"/>
      <c r="G361" s="169"/>
      <c r="H361" s="169"/>
    </row>
    <row r="362" spans="2:8">
      <c r="B362" s="169"/>
      <c r="C362" s="169"/>
      <c r="D362" s="169"/>
      <c r="E362" s="169"/>
      <c r="F362" s="169"/>
      <c r="G362" s="169"/>
      <c r="H362" s="169"/>
    </row>
    <row r="363" spans="2:8">
      <c r="B363" s="169"/>
      <c r="C363" s="169"/>
      <c r="D363" s="169"/>
      <c r="E363" s="169"/>
      <c r="F363" s="169"/>
      <c r="G363" s="169"/>
      <c r="H363" s="169"/>
    </row>
    <row r="364" spans="2:8">
      <c r="B364" s="169"/>
      <c r="C364" s="169"/>
      <c r="D364" s="169"/>
      <c r="E364" s="169"/>
      <c r="F364" s="169"/>
      <c r="G364" s="169"/>
      <c r="H364" s="169"/>
    </row>
    <row r="365" spans="2:8">
      <c r="B365" s="169"/>
      <c r="C365" s="169"/>
      <c r="D365" s="169"/>
      <c r="E365" s="169"/>
      <c r="F365" s="169"/>
      <c r="G365" s="169"/>
      <c r="H365" s="169"/>
    </row>
    <row r="366" spans="2:8">
      <c r="B366" s="169"/>
      <c r="C366" s="169"/>
      <c r="D366" s="169"/>
      <c r="E366" s="169"/>
      <c r="F366" s="169"/>
      <c r="G366" s="169"/>
      <c r="H366" s="169"/>
    </row>
    <row r="367" spans="2:8">
      <c r="B367" s="169"/>
      <c r="C367" s="169"/>
      <c r="D367" s="169"/>
      <c r="E367" s="169"/>
      <c r="F367" s="169"/>
      <c r="G367" s="169"/>
      <c r="H367" s="169"/>
    </row>
    <row r="368" spans="2:8">
      <c r="B368" s="169"/>
      <c r="C368" s="169"/>
      <c r="D368" s="169"/>
      <c r="E368" s="169"/>
      <c r="F368" s="169"/>
      <c r="G368" s="169"/>
      <c r="H368" s="169"/>
    </row>
    <row r="369" spans="2:8">
      <c r="B369" s="169"/>
      <c r="C369" s="169"/>
      <c r="D369" s="169"/>
      <c r="E369" s="169"/>
      <c r="F369" s="169"/>
      <c r="G369" s="169"/>
      <c r="H369" s="169"/>
    </row>
    <row r="370" spans="2:8">
      <c r="B370" s="169"/>
      <c r="C370" s="169"/>
      <c r="D370" s="169"/>
      <c r="E370" s="169"/>
      <c r="F370" s="169"/>
      <c r="G370" s="169"/>
      <c r="H370" s="169"/>
    </row>
    <row r="371" spans="2:8">
      <c r="B371" s="169"/>
      <c r="C371" s="169"/>
      <c r="D371" s="169"/>
      <c r="E371" s="169"/>
      <c r="F371" s="169"/>
      <c r="G371" s="169"/>
      <c r="H371" s="169"/>
    </row>
    <row r="372" spans="2:8">
      <c r="B372" s="169"/>
      <c r="C372" s="169"/>
      <c r="D372" s="169"/>
      <c r="E372" s="169"/>
      <c r="F372" s="169"/>
      <c r="G372" s="169"/>
      <c r="H372" s="169"/>
    </row>
    <row r="373" spans="2:8">
      <c r="B373" s="169"/>
      <c r="C373" s="169"/>
      <c r="D373" s="169"/>
      <c r="E373" s="169"/>
      <c r="F373" s="169"/>
      <c r="G373" s="169"/>
      <c r="H373" s="169"/>
    </row>
    <row r="374" spans="2:8">
      <c r="B374" s="169"/>
      <c r="C374" s="169"/>
      <c r="D374" s="169"/>
      <c r="E374" s="169"/>
      <c r="F374" s="169"/>
      <c r="G374" s="169"/>
      <c r="H374" s="169"/>
    </row>
    <row r="375" spans="2:8">
      <c r="B375" s="169"/>
      <c r="C375" s="169"/>
      <c r="D375" s="169"/>
      <c r="E375" s="169"/>
      <c r="F375" s="169"/>
      <c r="G375" s="169"/>
      <c r="H375" s="169"/>
    </row>
    <row r="376" spans="2:8">
      <c r="B376" s="169"/>
      <c r="C376" s="169"/>
      <c r="D376" s="169"/>
      <c r="E376" s="169"/>
      <c r="F376" s="169"/>
      <c r="G376" s="169"/>
      <c r="H376" s="169"/>
    </row>
    <row r="377" spans="2:8">
      <c r="B377" s="169"/>
      <c r="C377" s="169"/>
      <c r="D377" s="169"/>
      <c r="E377" s="169"/>
      <c r="F377" s="169"/>
      <c r="G377" s="169"/>
      <c r="H377" s="169"/>
    </row>
    <row r="378" spans="2:8">
      <c r="B378" s="169"/>
      <c r="C378" s="169"/>
      <c r="D378" s="169"/>
      <c r="E378" s="169"/>
      <c r="F378" s="169"/>
      <c r="G378" s="169"/>
      <c r="H378" s="169"/>
    </row>
    <row r="379" spans="2:8">
      <c r="B379" s="169"/>
      <c r="C379" s="169"/>
      <c r="D379" s="169"/>
      <c r="E379" s="169"/>
      <c r="F379" s="169"/>
      <c r="G379" s="169"/>
      <c r="H379" s="169"/>
    </row>
    <row r="380" spans="2:8">
      <c r="B380" s="169"/>
      <c r="C380" s="169"/>
      <c r="D380" s="169"/>
      <c r="E380" s="169"/>
      <c r="F380" s="169"/>
      <c r="G380" s="169"/>
      <c r="H380" s="169"/>
    </row>
    <row r="381" spans="2:8">
      <c r="B381" s="169"/>
      <c r="C381" s="169"/>
      <c r="D381" s="169"/>
      <c r="E381" s="169"/>
      <c r="F381" s="169"/>
      <c r="G381" s="169"/>
      <c r="H381" s="169"/>
    </row>
    <row r="382" spans="2:8">
      <c r="B382" s="169"/>
      <c r="C382" s="169"/>
      <c r="D382" s="169"/>
      <c r="E382" s="169"/>
      <c r="F382" s="169"/>
      <c r="G382" s="169"/>
      <c r="H382" s="169"/>
    </row>
    <row r="383" spans="2:8">
      <c r="B383" s="169"/>
      <c r="C383" s="169"/>
      <c r="D383" s="169"/>
      <c r="E383" s="169"/>
      <c r="F383" s="169"/>
      <c r="G383" s="169"/>
      <c r="H383" s="169"/>
    </row>
    <row r="384" spans="2:8">
      <c r="B384" s="169"/>
      <c r="C384" s="169"/>
      <c r="D384" s="169"/>
      <c r="E384" s="169"/>
      <c r="F384" s="169"/>
      <c r="G384" s="169"/>
      <c r="H384" s="169"/>
    </row>
    <row r="385" spans="2:8">
      <c r="B385" s="169"/>
      <c r="C385" s="169"/>
      <c r="D385" s="169"/>
      <c r="E385" s="169"/>
      <c r="F385" s="169"/>
      <c r="G385" s="169"/>
      <c r="H385" s="169"/>
    </row>
    <row r="386" spans="2:8">
      <c r="B386" s="169"/>
      <c r="C386" s="169"/>
      <c r="D386" s="169"/>
      <c r="E386" s="169"/>
      <c r="F386" s="169"/>
      <c r="G386" s="169"/>
      <c r="H386" s="169"/>
    </row>
    <row r="387" spans="2:8">
      <c r="B387" s="169"/>
      <c r="C387" s="169"/>
      <c r="D387" s="169"/>
      <c r="E387" s="169"/>
      <c r="F387" s="169"/>
      <c r="G387" s="169"/>
      <c r="H387" s="169"/>
    </row>
    <row r="388" spans="2:8">
      <c r="B388" s="169"/>
      <c r="C388" s="169"/>
      <c r="D388" s="169"/>
      <c r="E388" s="169"/>
      <c r="F388" s="169"/>
      <c r="G388" s="169"/>
      <c r="H388" s="169"/>
    </row>
    <row r="389" spans="2:8">
      <c r="B389" s="169"/>
      <c r="C389" s="169"/>
      <c r="D389" s="169"/>
      <c r="E389" s="169"/>
      <c r="F389" s="169"/>
      <c r="G389" s="169"/>
      <c r="H389" s="169"/>
    </row>
    <row r="390" spans="2:8">
      <c r="B390" s="169"/>
      <c r="C390" s="169"/>
      <c r="D390" s="169"/>
      <c r="E390" s="169"/>
      <c r="F390" s="169"/>
      <c r="G390" s="169"/>
      <c r="H390" s="169"/>
    </row>
    <row r="391" spans="2:8">
      <c r="B391" s="169"/>
      <c r="C391" s="169"/>
      <c r="D391" s="169"/>
      <c r="E391" s="169"/>
      <c r="F391" s="169"/>
      <c r="G391" s="169"/>
      <c r="H391" s="169"/>
    </row>
    <row r="392" spans="2:8">
      <c r="B392" s="169"/>
      <c r="C392" s="169"/>
      <c r="D392" s="169"/>
      <c r="E392" s="169"/>
      <c r="F392" s="169"/>
      <c r="G392" s="169"/>
      <c r="H392" s="169"/>
    </row>
    <row r="393" spans="2:8">
      <c r="B393" s="169"/>
      <c r="C393" s="169"/>
      <c r="D393" s="169"/>
      <c r="E393" s="169"/>
      <c r="F393" s="169"/>
      <c r="G393" s="169"/>
      <c r="H393" s="169"/>
    </row>
    <row r="394" spans="2:8">
      <c r="B394" s="169"/>
      <c r="C394" s="169"/>
      <c r="D394" s="169"/>
      <c r="E394" s="169"/>
      <c r="F394" s="169"/>
      <c r="G394" s="169"/>
      <c r="H394" s="169"/>
    </row>
    <row r="395" spans="2:8">
      <c r="B395" s="169"/>
      <c r="C395" s="169"/>
      <c r="D395" s="169"/>
      <c r="E395" s="169"/>
      <c r="F395" s="169"/>
      <c r="G395" s="169"/>
      <c r="H395" s="169"/>
    </row>
    <row r="396" spans="2:8">
      <c r="B396" s="169"/>
      <c r="C396" s="169"/>
      <c r="D396" s="169"/>
      <c r="E396" s="169"/>
      <c r="F396" s="169"/>
      <c r="G396" s="169"/>
      <c r="H396" s="169"/>
    </row>
    <row r="397" spans="2:8">
      <c r="B397" s="169"/>
      <c r="C397" s="169"/>
      <c r="D397" s="169"/>
      <c r="E397" s="169"/>
      <c r="F397" s="169"/>
      <c r="G397" s="169"/>
      <c r="H397" s="169"/>
    </row>
    <row r="398" spans="2:8">
      <c r="B398" s="169"/>
      <c r="C398" s="169"/>
      <c r="D398" s="169"/>
      <c r="E398" s="169"/>
      <c r="F398" s="169"/>
      <c r="G398" s="169"/>
      <c r="H398" s="169"/>
    </row>
    <row r="399" spans="2:8">
      <c r="B399" s="169"/>
      <c r="C399" s="169"/>
      <c r="D399" s="169"/>
      <c r="E399" s="169"/>
      <c r="F399" s="169"/>
      <c r="G399" s="169"/>
      <c r="H399" s="169"/>
    </row>
    <row r="400" spans="2:8">
      <c r="B400" s="169"/>
      <c r="C400" s="169"/>
      <c r="D400" s="169"/>
      <c r="E400" s="169"/>
      <c r="F400" s="169"/>
      <c r="G400" s="169"/>
      <c r="H400" s="169"/>
    </row>
    <row r="401" spans="2:8">
      <c r="B401" s="169"/>
      <c r="C401" s="169"/>
      <c r="D401" s="169"/>
      <c r="E401" s="169"/>
      <c r="F401" s="169"/>
      <c r="G401" s="169"/>
      <c r="H401" s="169"/>
    </row>
    <row r="402" spans="2:8">
      <c r="B402" s="169"/>
      <c r="C402" s="169"/>
      <c r="D402" s="169"/>
      <c r="E402" s="169"/>
      <c r="F402" s="169"/>
      <c r="G402" s="169"/>
      <c r="H402" s="169"/>
    </row>
    <row r="403" spans="2:8">
      <c r="B403" s="169"/>
      <c r="C403" s="169"/>
      <c r="D403" s="169"/>
      <c r="E403" s="169"/>
      <c r="F403" s="169"/>
      <c r="G403" s="169"/>
      <c r="H403" s="169"/>
    </row>
    <row r="404" spans="2:8">
      <c r="B404" s="169"/>
      <c r="C404" s="169"/>
      <c r="D404" s="169"/>
      <c r="E404" s="169"/>
      <c r="F404" s="169"/>
      <c r="G404" s="169"/>
      <c r="H404" s="169"/>
    </row>
    <row r="405" spans="2:8">
      <c r="B405" s="169"/>
      <c r="C405" s="169"/>
      <c r="D405" s="169"/>
      <c r="E405" s="169"/>
      <c r="F405" s="169"/>
      <c r="G405" s="169"/>
      <c r="H405" s="169"/>
    </row>
    <row r="406" spans="2:8">
      <c r="B406" s="169"/>
      <c r="C406" s="169"/>
      <c r="D406" s="169"/>
      <c r="E406" s="169"/>
      <c r="F406" s="169"/>
      <c r="G406" s="169"/>
      <c r="H406" s="169"/>
    </row>
    <row r="407" spans="2:8">
      <c r="B407" s="169"/>
      <c r="C407" s="169"/>
      <c r="D407" s="169"/>
      <c r="E407" s="169"/>
      <c r="F407" s="169"/>
      <c r="G407" s="169"/>
      <c r="H407" s="169"/>
    </row>
    <row r="408" spans="2:8">
      <c r="B408" s="169"/>
      <c r="C408" s="169"/>
      <c r="D408" s="169"/>
      <c r="E408" s="169"/>
      <c r="F408" s="169"/>
      <c r="G408" s="169"/>
      <c r="H408" s="169"/>
    </row>
    <row r="409" spans="2:8">
      <c r="B409" s="169"/>
      <c r="C409" s="169"/>
      <c r="D409" s="169"/>
      <c r="E409" s="169"/>
      <c r="F409" s="169"/>
      <c r="G409" s="169"/>
      <c r="H409" s="169"/>
    </row>
    <row r="410" spans="2:8">
      <c r="B410" s="169"/>
      <c r="C410" s="169"/>
      <c r="D410" s="169"/>
      <c r="E410" s="169"/>
      <c r="F410" s="169"/>
      <c r="G410" s="169"/>
      <c r="H410" s="169"/>
    </row>
    <row r="411" spans="2:8">
      <c r="B411" s="169"/>
      <c r="C411" s="169"/>
      <c r="D411" s="169"/>
      <c r="E411" s="169"/>
      <c r="F411" s="169"/>
      <c r="G411" s="169"/>
      <c r="H411" s="169"/>
    </row>
    <row r="412" spans="2:8">
      <c r="B412" s="169"/>
      <c r="C412" s="169"/>
      <c r="D412" s="169"/>
      <c r="E412" s="169"/>
      <c r="F412" s="169"/>
      <c r="G412" s="169"/>
      <c r="H412" s="169"/>
    </row>
    <row r="413" spans="2:8">
      <c r="B413" s="169"/>
      <c r="C413" s="169"/>
      <c r="D413" s="169"/>
      <c r="E413" s="169"/>
      <c r="F413" s="169"/>
      <c r="G413" s="169"/>
      <c r="H413" s="169"/>
    </row>
    <row r="414" spans="2:8">
      <c r="B414" s="169"/>
      <c r="C414" s="169"/>
      <c r="D414" s="169"/>
      <c r="E414" s="169"/>
      <c r="F414" s="169"/>
      <c r="G414" s="169"/>
      <c r="H414" s="169"/>
    </row>
    <row r="415" spans="2:8">
      <c r="B415" s="169"/>
      <c r="C415" s="169"/>
      <c r="D415" s="169"/>
      <c r="E415" s="169"/>
      <c r="F415" s="169"/>
      <c r="G415" s="169"/>
      <c r="H415" s="169"/>
    </row>
    <row r="416" spans="2:8">
      <c r="B416" s="169"/>
      <c r="C416" s="169"/>
      <c r="D416" s="169"/>
      <c r="E416" s="169"/>
      <c r="F416" s="169"/>
      <c r="G416" s="169"/>
      <c r="H416" s="169"/>
    </row>
    <row r="417" spans="2:8">
      <c r="B417" s="169"/>
      <c r="C417" s="169"/>
      <c r="D417" s="169"/>
      <c r="E417" s="169"/>
      <c r="F417" s="169"/>
      <c r="G417" s="169"/>
      <c r="H417" s="169"/>
    </row>
    <row r="418" spans="2:8">
      <c r="B418" s="169"/>
      <c r="C418" s="169"/>
      <c r="D418" s="169"/>
      <c r="E418" s="169"/>
      <c r="F418" s="169"/>
      <c r="G418" s="169"/>
      <c r="H418" s="169"/>
    </row>
    <row r="419" spans="2:8">
      <c r="B419" s="169"/>
      <c r="C419" s="169"/>
      <c r="D419" s="169"/>
      <c r="E419" s="169"/>
      <c r="F419" s="169"/>
      <c r="G419" s="169"/>
      <c r="H419" s="169"/>
    </row>
    <row r="420" spans="2:8">
      <c r="B420" s="169"/>
      <c r="C420" s="169"/>
      <c r="D420" s="169"/>
      <c r="E420" s="169"/>
      <c r="F420" s="169"/>
      <c r="G420" s="169"/>
      <c r="H420" s="169"/>
    </row>
    <row r="421" spans="2:8">
      <c r="B421" s="169"/>
      <c r="C421" s="169"/>
      <c r="D421" s="169"/>
      <c r="E421" s="169"/>
      <c r="F421" s="169"/>
      <c r="G421" s="169"/>
      <c r="H421" s="169"/>
    </row>
    <row r="422" spans="2:8">
      <c r="B422" s="169"/>
      <c r="C422" s="169"/>
      <c r="D422" s="169"/>
      <c r="E422" s="169"/>
      <c r="F422" s="169"/>
      <c r="G422" s="169"/>
      <c r="H422" s="169"/>
    </row>
    <row r="423" spans="2:8">
      <c r="B423" s="169"/>
      <c r="C423" s="169"/>
      <c r="D423" s="169"/>
      <c r="E423" s="169"/>
      <c r="F423" s="169"/>
      <c r="G423" s="169"/>
      <c r="H423" s="169"/>
    </row>
    <row r="424" spans="2:8">
      <c r="B424" s="169"/>
      <c r="C424" s="169"/>
      <c r="D424" s="169"/>
      <c r="E424" s="169"/>
      <c r="F424" s="169"/>
      <c r="G424" s="169"/>
      <c r="H424" s="169"/>
    </row>
    <row r="425" spans="2:8">
      <c r="B425" s="169"/>
      <c r="C425" s="169"/>
      <c r="D425" s="169"/>
      <c r="E425" s="169"/>
      <c r="F425" s="169"/>
      <c r="G425" s="169"/>
      <c r="H425" s="169"/>
    </row>
    <row r="426" spans="2:8">
      <c r="B426" s="169"/>
      <c r="C426" s="169"/>
      <c r="D426" s="169"/>
      <c r="E426" s="169"/>
      <c r="F426" s="169"/>
      <c r="G426" s="169"/>
      <c r="H426" s="169"/>
    </row>
    <row r="427" spans="2:8">
      <c r="B427" s="169"/>
      <c r="C427" s="169"/>
      <c r="D427" s="169"/>
      <c r="E427" s="169"/>
      <c r="F427" s="169"/>
      <c r="G427" s="169"/>
      <c r="H427" s="169"/>
    </row>
    <row r="428" spans="2:8">
      <c r="B428" s="169"/>
      <c r="C428" s="169"/>
      <c r="D428" s="169"/>
      <c r="E428" s="169"/>
      <c r="F428" s="169"/>
      <c r="G428" s="169"/>
      <c r="H428" s="169"/>
    </row>
    <row r="429" spans="2:8">
      <c r="B429" s="169"/>
      <c r="C429" s="169"/>
      <c r="D429" s="169"/>
      <c r="E429" s="169"/>
      <c r="F429" s="169"/>
      <c r="G429" s="169"/>
      <c r="H429" s="169"/>
    </row>
    <row r="430" spans="2:8">
      <c r="B430" s="169"/>
      <c r="C430" s="169"/>
      <c r="D430" s="169"/>
      <c r="E430" s="169"/>
      <c r="F430" s="169"/>
      <c r="G430" s="169"/>
      <c r="H430" s="169"/>
    </row>
    <row r="431" spans="2:8">
      <c r="B431" s="169"/>
      <c r="C431" s="169"/>
      <c r="D431" s="169"/>
      <c r="E431" s="169"/>
      <c r="F431" s="169"/>
      <c r="G431" s="169"/>
      <c r="H431" s="169"/>
    </row>
    <row r="432" spans="2:8">
      <c r="B432" s="169"/>
      <c r="C432" s="169"/>
      <c r="D432" s="169"/>
      <c r="E432" s="169"/>
      <c r="F432" s="169"/>
      <c r="G432" s="169"/>
      <c r="H432" s="169"/>
    </row>
    <row r="433" spans="2:8">
      <c r="B433" s="169"/>
      <c r="C433" s="169"/>
      <c r="D433" s="169"/>
      <c r="E433" s="169"/>
      <c r="F433" s="169"/>
      <c r="G433" s="169"/>
      <c r="H433" s="169"/>
    </row>
    <row r="434" spans="2:8">
      <c r="B434" s="169"/>
      <c r="C434" s="169"/>
      <c r="D434" s="169"/>
      <c r="E434" s="169"/>
      <c r="F434" s="169"/>
      <c r="G434" s="169"/>
      <c r="H434" s="169"/>
    </row>
    <row r="435" spans="2:8">
      <c r="B435" s="169"/>
      <c r="C435" s="169"/>
      <c r="D435" s="169"/>
      <c r="E435" s="169"/>
      <c r="F435" s="169"/>
      <c r="G435" s="169"/>
      <c r="H435" s="169"/>
    </row>
    <row r="436" spans="2:8">
      <c r="B436" s="169"/>
      <c r="C436" s="169"/>
      <c r="D436" s="169"/>
      <c r="E436" s="169"/>
      <c r="F436" s="169"/>
      <c r="G436" s="169"/>
      <c r="H436" s="169"/>
    </row>
    <row r="437" spans="2:8">
      <c r="B437" s="169"/>
      <c r="C437" s="169"/>
      <c r="D437" s="169"/>
      <c r="E437" s="169"/>
      <c r="F437" s="169"/>
      <c r="G437" s="169"/>
      <c r="H437" s="169"/>
    </row>
    <row r="438" spans="2:8">
      <c r="B438" s="169"/>
      <c r="C438" s="169"/>
      <c r="D438" s="169"/>
      <c r="E438" s="169"/>
      <c r="F438" s="169"/>
      <c r="G438" s="169"/>
      <c r="H438" s="169"/>
    </row>
    <row r="439" spans="2:8">
      <c r="B439" s="169"/>
      <c r="C439" s="169"/>
      <c r="D439" s="169"/>
      <c r="E439" s="169"/>
      <c r="F439" s="169"/>
      <c r="G439" s="169"/>
      <c r="H439" s="169"/>
    </row>
    <row r="440" spans="2:8">
      <c r="B440" s="169"/>
      <c r="C440" s="169"/>
      <c r="D440" s="169"/>
      <c r="E440" s="169"/>
      <c r="F440" s="169"/>
      <c r="G440" s="169"/>
      <c r="H440" s="169"/>
    </row>
    <row r="441" spans="2:8">
      <c r="B441" s="169"/>
      <c r="C441" s="169"/>
      <c r="D441" s="169"/>
      <c r="E441" s="169"/>
      <c r="F441" s="169"/>
      <c r="G441" s="169"/>
      <c r="H441" s="169"/>
    </row>
    <row r="442" spans="2:8">
      <c r="B442" s="169"/>
      <c r="C442" s="169"/>
      <c r="D442" s="169"/>
      <c r="E442" s="169"/>
      <c r="F442" s="169"/>
      <c r="G442" s="169"/>
      <c r="H442" s="169"/>
    </row>
    <row r="443" spans="2:8">
      <c r="B443" s="169"/>
      <c r="C443" s="169"/>
      <c r="D443" s="169"/>
      <c r="E443" s="169"/>
      <c r="F443" s="169"/>
      <c r="G443" s="169"/>
      <c r="H443" s="169"/>
    </row>
    <row r="444" spans="2:8">
      <c r="B444" s="169"/>
      <c r="C444" s="169"/>
      <c r="D444" s="169"/>
      <c r="E444" s="169"/>
      <c r="F444" s="169"/>
      <c r="G444" s="169"/>
      <c r="H444" s="169"/>
    </row>
    <row r="445" spans="2:8">
      <c r="B445" s="169"/>
      <c r="C445" s="169"/>
      <c r="D445" s="169"/>
      <c r="E445" s="169"/>
      <c r="F445" s="169"/>
      <c r="G445" s="169"/>
      <c r="H445" s="169"/>
    </row>
    <row r="446" spans="2:8">
      <c r="B446" s="169"/>
      <c r="C446" s="169"/>
      <c r="D446" s="169"/>
      <c r="E446" s="169"/>
      <c r="F446" s="169"/>
      <c r="G446" s="169"/>
      <c r="H446" s="169"/>
    </row>
    <row r="447" spans="2:8">
      <c r="B447" s="169"/>
      <c r="C447" s="169"/>
      <c r="D447" s="169"/>
      <c r="E447" s="169"/>
      <c r="F447" s="169"/>
      <c r="G447" s="169"/>
      <c r="H447" s="169"/>
    </row>
    <row r="448" spans="2:8">
      <c r="B448" s="169"/>
      <c r="C448" s="169"/>
      <c r="D448" s="169"/>
      <c r="E448" s="169"/>
      <c r="F448" s="169"/>
      <c r="G448" s="169"/>
      <c r="H448" s="169"/>
    </row>
    <row r="449" spans="2:8">
      <c r="B449" s="169"/>
      <c r="C449" s="169"/>
      <c r="D449" s="169"/>
      <c r="E449" s="169"/>
      <c r="F449" s="169"/>
      <c r="G449" s="169"/>
      <c r="H449" s="169"/>
    </row>
    <row r="450" spans="2:8">
      <c r="B450" s="169"/>
      <c r="C450" s="169"/>
      <c r="D450" s="169"/>
      <c r="E450" s="169"/>
      <c r="F450" s="169"/>
      <c r="G450" s="169"/>
      <c r="H450" s="169"/>
    </row>
    <row r="451" spans="2:8">
      <c r="B451" s="169"/>
      <c r="C451" s="169"/>
      <c r="D451" s="169"/>
      <c r="E451" s="169"/>
      <c r="F451" s="169"/>
      <c r="G451" s="169"/>
      <c r="H451" s="169"/>
    </row>
    <row r="452" spans="2:8">
      <c r="B452" s="169"/>
      <c r="C452" s="169"/>
      <c r="D452" s="169"/>
      <c r="E452" s="169"/>
      <c r="F452" s="169"/>
      <c r="G452" s="169"/>
      <c r="H452" s="169"/>
    </row>
    <row r="453" spans="2:8">
      <c r="B453" s="169"/>
      <c r="C453" s="169"/>
      <c r="D453" s="169"/>
      <c r="E453" s="169"/>
      <c r="F453" s="169"/>
      <c r="G453" s="169"/>
      <c r="H453" s="169"/>
    </row>
    <row r="454" spans="2:8">
      <c r="B454" s="169"/>
      <c r="C454" s="169"/>
      <c r="D454" s="169"/>
      <c r="E454" s="169"/>
      <c r="F454" s="169"/>
      <c r="G454" s="169"/>
      <c r="H454" s="169"/>
    </row>
    <row r="455" spans="2:8">
      <c r="B455" s="169"/>
      <c r="C455" s="169"/>
      <c r="D455" s="169"/>
      <c r="E455" s="169"/>
      <c r="F455" s="169"/>
      <c r="G455" s="169"/>
      <c r="H455" s="169"/>
    </row>
    <row r="456" spans="2:8">
      <c r="B456" s="169"/>
      <c r="C456" s="169"/>
      <c r="D456" s="169"/>
      <c r="E456" s="169"/>
      <c r="F456" s="169"/>
      <c r="G456" s="169"/>
      <c r="H456" s="169"/>
    </row>
    <row r="457" spans="2:8">
      <c r="B457" s="169"/>
      <c r="C457" s="169"/>
      <c r="D457" s="169"/>
      <c r="E457" s="169"/>
      <c r="F457" s="169"/>
      <c r="G457" s="169"/>
      <c r="H457" s="169"/>
    </row>
    <row r="458" spans="2:8">
      <c r="B458" s="169"/>
      <c r="C458" s="169"/>
      <c r="D458" s="169"/>
      <c r="E458" s="169"/>
      <c r="F458" s="169"/>
      <c r="G458" s="169"/>
      <c r="H458" s="169"/>
    </row>
    <row r="459" spans="2:8">
      <c r="B459" s="169"/>
      <c r="C459" s="169"/>
      <c r="D459" s="169"/>
      <c r="E459" s="169"/>
      <c r="F459" s="169"/>
      <c r="G459" s="169"/>
      <c r="H459" s="169"/>
    </row>
    <row r="460" spans="2:8">
      <c r="B460" s="169"/>
      <c r="C460" s="169"/>
      <c r="D460" s="169"/>
      <c r="E460" s="169"/>
      <c r="F460" s="169"/>
      <c r="G460" s="169"/>
      <c r="H460" s="169"/>
    </row>
    <row r="461" spans="2:8">
      <c r="B461" s="169"/>
      <c r="C461" s="169"/>
      <c r="D461" s="169"/>
      <c r="E461" s="169"/>
      <c r="F461" s="169"/>
      <c r="G461" s="169"/>
      <c r="H461" s="169"/>
    </row>
    <row r="462" spans="2:8">
      <c r="B462" s="169"/>
      <c r="C462" s="169"/>
      <c r="D462" s="169"/>
      <c r="E462" s="169"/>
      <c r="F462" s="169"/>
      <c r="G462" s="169"/>
      <c r="H462" s="169"/>
    </row>
    <row r="463" spans="2:8">
      <c r="B463" s="169"/>
      <c r="C463" s="169"/>
      <c r="D463" s="169"/>
      <c r="E463" s="169"/>
      <c r="F463" s="169"/>
      <c r="G463" s="169"/>
      <c r="H463" s="169"/>
    </row>
    <row r="464" spans="2:8">
      <c r="B464" s="169"/>
      <c r="C464" s="169"/>
      <c r="D464" s="169"/>
      <c r="E464" s="169"/>
      <c r="F464" s="169"/>
      <c r="G464" s="169"/>
      <c r="H464" s="169"/>
    </row>
    <row r="465" spans="2:8">
      <c r="B465" s="169"/>
      <c r="C465" s="169"/>
      <c r="D465" s="169"/>
      <c r="E465" s="169"/>
      <c r="F465" s="169"/>
      <c r="G465" s="169"/>
      <c r="H465" s="169"/>
    </row>
    <row r="466" spans="2:8">
      <c r="B466" s="169"/>
      <c r="C466" s="169"/>
      <c r="D466" s="169"/>
      <c r="E466" s="169"/>
      <c r="F466" s="169"/>
      <c r="G466" s="169"/>
      <c r="H466" s="169"/>
    </row>
    <row r="467" spans="2:8">
      <c r="B467" s="169"/>
      <c r="C467" s="169"/>
      <c r="D467" s="169"/>
      <c r="E467" s="169"/>
      <c r="F467" s="169"/>
      <c r="G467" s="169"/>
      <c r="H467" s="169"/>
    </row>
    <row r="468" spans="2:8">
      <c r="B468" s="169"/>
      <c r="C468" s="169"/>
      <c r="D468" s="169"/>
      <c r="E468" s="169"/>
      <c r="F468" s="169"/>
      <c r="G468" s="169"/>
      <c r="H468" s="169"/>
    </row>
    <row r="469" spans="2:8">
      <c r="B469" s="169"/>
      <c r="C469" s="169"/>
      <c r="D469" s="169"/>
      <c r="E469" s="169"/>
      <c r="F469" s="169"/>
      <c r="G469" s="169"/>
      <c r="H469" s="169"/>
    </row>
    <row r="470" spans="2:8">
      <c r="B470" s="169"/>
      <c r="C470" s="169"/>
      <c r="D470" s="169"/>
      <c r="E470" s="169"/>
      <c r="F470" s="169"/>
      <c r="G470" s="169"/>
      <c r="H470" s="169"/>
    </row>
    <row r="471" spans="2:8">
      <c r="B471" s="169"/>
      <c r="C471" s="169"/>
      <c r="D471" s="169"/>
      <c r="E471" s="169"/>
      <c r="F471" s="169"/>
      <c r="G471" s="169"/>
      <c r="H471" s="169"/>
    </row>
    <row r="472" spans="2:8">
      <c r="B472" s="169"/>
      <c r="C472" s="169"/>
      <c r="D472" s="169"/>
      <c r="E472" s="169"/>
      <c r="F472" s="169"/>
      <c r="G472" s="169"/>
      <c r="H472" s="169"/>
    </row>
    <row r="473" spans="2:8">
      <c r="B473" s="169"/>
      <c r="C473" s="169"/>
      <c r="D473" s="169"/>
      <c r="E473" s="169"/>
      <c r="F473" s="169"/>
      <c r="G473" s="169"/>
      <c r="H473" s="169"/>
    </row>
    <row r="474" spans="2:8">
      <c r="B474" s="169"/>
      <c r="C474" s="169"/>
      <c r="D474" s="169"/>
      <c r="E474" s="169"/>
      <c r="F474" s="169"/>
      <c r="G474" s="169"/>
      <c r="H474" s="169"/>
    </row>
    <row r="475" spans="2:8">
      <c r="B475" s="169"/>
      <c r="C475" s="169"/>
      <c r="D475" s="169"/>
      <c r="E475" s="169"/>
      <c r="F475" s="169"/>
      <c r="G475" s="169"/>
      <c r="H475" s="169"/>
    </row>
    <row r="476" spans="2:8">
      <c r="B476" s="169"/>
      <c r="C476" s="169"/>
      <c r="D476" s="169"/>
      <c r="E476" s="169"/>
      <c r="F476" s="169"/>
      <c r="G476" s="169"/>
      <c r="H476" s="169"/>
    </row>
    <row r="477" spans="2:8">
      <c r="B477" s="169"/>
      <c r="C477" s="169"/>
      <c r="D477" s="169"/>
      <c r="E477" s="169"/>
      <c r="F477" s="169"/>
      <c r="G477" s="169"/>
      <c r="H477" s="169"/>
    </row>
    <row r="478" spans="2:8">
      <c r="B478" s="169"/>
      <c r="C478" s="169"/>
      <c r="D478" s="169"/>
      <c r="E478" s="169"/>
      <c r="F478" s="169"/>
      <c r="G478" s="169"/>
      <c r="H478" s="169"/>
    </row>
    <row r="479" spans="2:8">
      <c r="B479" s="169"/>
      <c r="C479" s="169"/>
      <c r="D479" s="169"/>
      <c r="E479" s="169"/>
      <c r="F479" s="169"/>
      <c r="G479" s="169"/>
      <c r="H479" s="169"/>
    </row>
    <row r="480" spans="2:8">
      <c r="B480" s="169"/>
      <c r="C480" s="169"/>
      <c r="D480" s="169"/>
      <c r="E480" s="169"/>
      <c r="F480" s="169"/>
      <c r="G480" s="169"/>
      <c r="H480" s="169"/>
    </row>
    <row r="481" spans="2:8">
      <c r="B481" s="169"/>
      <c r="C481" s="169"/>
      <c r="D481" s="169"/>
      <c r="E481" s="169"/>
      <c r="F481" s="169"/>
      <c r="G481" s="169"/>
      <c r="H481" s="169"/>
    </row>
    <row r="482" spans="2:8">
      <c r="B482" s="169"/>
      <c r="C482" s="169"/>
      <c r="D482" s="169"/>
      <c r="E482" s="169"/>
      <c r="F482" s="169"/>
      <c r="G482" s="169"/>
      <c r="H482" s="169"/>
    </row>
    <row r="483" spans="2:8">
      <c r="B483" s="169"/>
      <c r="C483" s="169"/>
      <c r="D483" s="169"/>
      <c r="E483" s="169"/>
      <c r="F483" s="169"/>
      <c r="G483" s="169"/>
      <c r="H483" s="169"/>
    </row>
    <row r="484" spans="2:8">
      <c r="B484" s="169"/>
      <c r="C484" s="169"/>
      <c r="D484" s="169"/>
      <c r="E484" s="169"/>
      <c r="F484" s="169"/>
      <c r="G484" s="169"/>
      <c r="H484" s="169"/>
    </row>
    <row r="485" spans="2:8">
      <c r="B485" s="169"/>
      <c r="C485" s="169"/>
      <c r="D485" s="169"/>
      <c r="E485" s="169"/>
      <c r="F485" s="169"/>
      <c r="G485" s="169"/>
      <c r="H485" s="169"/>
    </row>
    <row r="486" spans="2:8">
      <c r="B486" s="169"/>
      <c r="C486" s="169"/>
      <c r="D486" s="169"/>
      <c r="E486" s="169"/>
      <c r="F486" s="169"/>
      <c r="G486" s="169"/>
      <c r="H486" s="169"/>
    </row>
    <row r="487" spans="2:8">
      <c r="B487" s="169"/>
      <c r="C487" s="169"/>
      <c r="D487" s="169"/>
      <c r="E487" s="169"/>
      <c r="F487" s="169"/>
      <c r="G487" s="169"/>
      <c r="H487" s="169"/>
    </row>
    <row r="488" spans="2:8">
      <c r="B488" s="169"/>
      <c r="C488" s="169"/>
      <c r="D488" s="169"/>
      <c r="E488" s="169"/>
      <c r="F488" s="169"/>
      <c r="G488" s="169"/>
      <c r="H488" s="169"/>
    </row>
    <row r="489" spans="2:8">
      <c r="B489" s="169"/>
      <c r="C489" s="169"/>
      <c r="D489" s="169"/>
      <c r="E489" s="169"/>
      <c r="F489" s="169"/>
      <c r="G489" s="169"/>
      <c r="H489" s="169"/>
    </row>
    <row r="490" spans="2:8">
      <c r="B490" s="169"/>
      <c r="C490" s="169"/>
      <c r="D490" s="169"/>
      <c r="E490" s="169"/>
      <c r="F490" s="169"/>
      <c r="G490" s="169"/>
      <c r="H490" s="169"/>
    </row>
    <row r="491" spans="2:8">
      <c r="B491" s="169"/>
      <c r="C491" s="169"/>
      <c r="D491" s="169"/>
      <c r="E491" s="169"/>
      <c r="F491" s="169"/>
      <c r="G491" s="169"/>
      <c r="H491" s="169"/>
    </row>
    <row r="492" spans="2:8">
      <c r="B492" s="169"/>
      <c r="C492" s="169"/>
      <c r="D492" s="169"/>
      <c r="E492" s="169"/>
      <c r="F492" s="169"/>
      <c r="G492" s="169"/>
      <c r="H492" s="169"/>
    </row>
    <row r="493" spans="2:8">
      <c r="B493" s="169"/>
      <c r="C493" s="169"/>
      <c r="D493" s="169"/>
      <c r="E493" s="169"/>
      <c r="F493" s="169"/>
      <c r="G493" s="169"/>
      <c r="H493" s="169"/>
    </row>
    <row r="494" spans="2:8">
      <c r="B494" s="169"/>
      <c r="C494" s="169"/>
      <c r="D494" s="169"/>
      <c r="E494" s="169"/>
      <c r="F494" s="169"/>
      <c r="G494" s="169"/>
      <c r="H494" s="169"/>
    </row>
    <row r="495" spans="2:8">
      <c r="B495" s="169"/>
      <c r="C495" s="169"/>
      <c r="D495" s="169"/>
      <c r="E495" s="169"/>
      <c r="F495" s="169"/>
      <c r="G495" s="169"/>
      <c r="H495" s="169"/>
    </row>
    <row r="496" spans="2:8">
      <c r="B496" s="169"/>
      <c r="C496" s="169"/>
      <c r="D496" s="169"/>
      <c r="E496" s="169"/>
      <c r="F496" s="169"/>
      <c r="G496" s="169"/>
      <c r="H496" s="169"/>
    </row>
    <row r="497" spans="2:8">
      <c r="B497" s="169"/>
      <c r="C497" s="169"/>
      <c r="D497" s="169"/>
      <c r="E497" s="169"/>
      <c r="F497" s="169"/>
      <c r="G497" s="169"/>
      <c r="H497" s="169"/>
    </row>
    <row r="498" spans="2:8">
      <c r="B498" s="169"/>
      <c r="C498" s="169"/>
      <c r="D498" s="169"/>
      <c r="E498" s="169"/>
      <c r="F498" s="169"/>
      <c r="G498" s="169"/>
      <c r="H498" s="169"/>
    </row>
    <row r="499" spans="2:8">
      <c r="B499" s="169"/>
      <c r="C499" s="169"/>
      <c r="D499" s="169"/>
      <c r="E499" s="169"/>
      <c r="F499" s="169"/>
      <c r="G499" s="169"/>
      <c r="H499" s="169"/>
    </row>
    <row r="500" spans="2:8">
      <c r="B500" s="169"/>
      <c r="C500" s="169"/>
      <c r="D500" s="169"/>
      <c r="E500" s="169"/>
      <c r="F500" s="169"/>
      <c r="G500" s="169"/>
      <c r="H500" s="169"/>
    </row>
    <row r="501" spans="2:8">
      <c r="B501" s="169"/>
      <c r="C501" s="169"/>
      <c r="D501" s="169"/>
      <c r="E501" s="169"/>
      <c r="F501" s="169"/>
      <c r="G501" s="169"/>
      <c r="H501" s="169"/>
    </row>
  </sheetData>
  <sheetProtection password="8D35" sheet="1" objects="1" scenarios="1" selectLockedCells="1"/>
  <protectedRanges>
    <protectedRange sqref="D4:G6 D11:G13" name="Bereich1"/>
  </protectedRanges>
  <dataConsolidate/>
  <customSheetViews>
    <customSheetView guid="{3936283E-F619-4C76-81B5-94C71CE639B2}" showPageBreaks="1" fitToPage="1" printArea="1" hiddenRows="1" hiddenColumns="1" topLeftCell="A5">
      <selection activeCell="D13" sqref="D13:G13"/>
      <pageMargins left="0.6692913385826772" right="0.31496062992125984" top="0.27559055118110237" bottom="0.39370078740157483" header="0.51181102362204722" footer="0.43307086614173229"/>
      <pageSetup paperSize="9" scale="86" orientation="portrait" r:id="rId1"/>
      <headerFooter alignWithMargins="0">
        <oddFooter>&amp;L&amp;"DIN-Regular,Standard"&amp;D&amp;C&amp;"DIN-Regular,Standard"SFC Energy AG&amp;R&amp;"DIN-Regular,Standard"page &amp;P of &amp;N</oddFooter>
      </headerFooter>
    </customSheetView>
    <customSheetView guid="{DFB92200-E2B8-4842-BABB-C8A43D4346B5}" hiddenRows="1" hiddenColumns="1" topLeftCell="A63">
      <selection activeCell="D13" sqref="D13:G13"/>
      <pageMargins left="0.27559055118110237" right="0.31496062992125984" top="0.27559055118110237" bottom="0.39370078740157483" header="0.51181102362204722" footer="0.43307086614173229"/>
      <pageSetup paperSize="9" scale="83" orientation="portrait" r:id="rId2"/>
      <headerFooter alignWithMargins="0">
        <oddFooter>&amp;L&amp;"DIN-Regular,Standard"&amp;D&amp;C&amp;"DIN-Regular,Standard"SFC Energy AG&amp;R&amp;"DIN-Regular,Standard"page &amp;P of &amp;N</oddFooter>
      </headerFooter>
    </customSheetView>
  </customSheetViews>
  <mergeCells count="126">
    <mergeCell ref="D17:G17"/>
    <mergeCell ref="M36:N36"/>
    <mergeCell ref="O36:P36"/>
    <mergeCell ref="Q36:R36"/>
    <mergeCell ref="S36:T36"/>
    <mergeCell ref="F68:G68"/>
    <mergeCell ref="F69:G69"/>
    <mergeCell ref="F70:G70"/>
    <mergeCell ref="D68:E68"/>
    <mergeCell ref="D69:E69"/>
    <mergeCell ref="D70:E70"/>
    <mergeCell ref="D67:E67"/>
    <mergeCell ref="F67:G67"/>
    <mergeCell ref="D43:E43"/>
    <mergeCell ref="F43:G43"/>
    <mergeCell ref="F44:G44"/>
    <mergeCell ref="D46:E46"/>
    <mergeCell ref="F46:G46"/>
    <mergeCell ref="D44:E44"/>
    <mergeCell ref="D45:E45"/>
    <mergeCell ref="F45:G45"/>
    <mergeCell ref="D37:E37"/>
    <mergeCell ref="D26:G26"/>
    <mergeCell ref="D27:G27"/>
    <mergeCell ref="B73:G73"/>
    <mergeCell ref="B66:G66"/>
    <mergeCell ref="B71:G71"/>
    <mergeCell ref="D47:E47"/>
    <mergeCell ref="B53:G53"/>
    <mergeCell ref="F61:G61"/>
    <mergeCell ref="B65:G65"/>
    <mergeCell ref="F59:G59"/>
    <mergeCell ref="B54:C54"/>
    <mergeCell ref="D62:E62"/>
    <mergeCell ref="B64:G64"/>
    <mergeCell ref="F62:G62"/>
    <mergeCell ref="D60:E60"/>
    <mergeCell ref="D54:G54"/>
    <mergeCell ref="D63:E63"/>
    <mergeCell ref="F63:G63"/>
    <mergeCell ref="B1:C1"/>
    <mergeCell ref="D11:G11"/>
    <mergeCell ref="D12:G12"/>
    <mergeCell ref="D4:G4"/>
    <mergeCell ref="D8:G8"/>
    <mergeCell ref="B3:G3"/>
    <mergeCell ref="D1:G2"/>
    <mergeCell ref="D7:G7"/>
    <mergeCell ref="H8:I8"/>
    <mergeCell ref="B10:G10"/>
    <mergeCell ref="EJ67:EQ67"/>
    <mergeCell ref="ER67:EY67"/>
    <mergeCell ref="BX67:CE67"/>
    <mergeCell ref="EB67:EI67"/>
    <mergeCell ref="CF67:CM67"/>
    <mergeCell ref="CN67:CU67"/>
    <mergeCell ref="EZ67:FG67"/>
    <mergeCell ref="D5:G5"/>
    <mergeCell ref="D6:G6"/>
    <mergeCell ref="B9:G9"/>
    <mergeCell ref="D59:E59"/>
    <mergeCell ref="D24:G24"/>
    <mergeCell ref="D25:G25"/>
    <mergeCell ref="D28:G28"/>
    <mergeCell ref="E57:F57"/>
    <mergeCell ref="F37:G37"/>
    <mergeCell ref="D40:E40"/>
    <mergeCell ref="D15:G15"/>
    <mergeCell ref="D35:E35"/>
    <mergeCell ref="D13:G13"/>
    <mergeCell ref="D14:G14"/>
    <mergeCell ref="I14:J14"/>
    <mergeCell ref="D22:G22"/>
    <mergeCell ref="D31:G31"/>
    <mergeCell ref="IJ67:IQ67"/>
    <mergeCell ref="HL67:HS67"/>
    <mergeCell ref="HT67:IA67"/>
    <mergeCell ref="FH67:FO67"/>
    <mergeCell ref="GF67:GM67"/>
    <mergeCell ref="IB67:II67"/>
    <mergeCell ref="GV67:HC67"/>
    <mergeCell ref="HD67:HK67"/>
    <mergeCell ref="FP67:FW67"/>
    <mergeCell ref="FX67:GE67"/>
    <mergeCell ref="GN67:GU67"/>
    <mergeCell ref="AB67:AI67"/>
    <mergeCell ref="BP67:BW67"/>
    <mergeCell ref="DT67:EA67"/>
    <mergeCell ref="D16:E16"/>
    <mergeCell ref="F16:G16"/>
    <mergeCell ref="D20:G20"/>
    <mergeCell ref="D21:G21"/>
    <mergeCell ref="D19:G19"/>
    <mergeCell ref="B18:G18"/>
    <mergeCell ref="D42:E42"/>
    <mergeCell ref="AZ67:BG67"/>
    <mergeCell ref="DL67:DS67"/>
    <mergeCell ref="BH67:BO67"/>
    <mergeCell ref="CV67:DC67"/>
    <mergeCell ref="DD67:DK67"/>
    <mergeCell ref="AR67:AY67"/>
    <mergeCell ref="AJ67:AQ67"/>
    <mergeCell ref="D55:G55"/>
    <mergeCell ref="B58:G58"/>
    <mergeCell ref="D61:E61"/>
    <mergeCell ref="E56:G56"/>
    <mergeCell ref="F60:G60"/>
    <mergeCell ref="T67:AA67"/>
    <mergeCell ref="F42:G42"/>
    <mergeCell ref="F41:G41"/>
    <mergeCell ref="D41:E41"/>
    <mergeCell ref="F40:G40"/>
    <mergeCell ref="F38:G38"/>
    <mergeCell ref="D23:G23"/>
    <mergeCell ref="F39:G39"/>
    <mergeCell ref="D36:E36"/>
    <mergeCell ref="F36:G36"/>
    <mergeCell ref="D39:E39"/>
    <mergeCell ref="D34:E34"/>
    <mergeCell ref="F34:G34"/>
    <mergeCell ref="D29:G29"/>
    <mergeCell ref="D30:G30"/>
    <mergeCell ref="D38:E38"/>
    <mergeCell ref="F35:G35"/>
    <mergeCell ref="D33:E33"/>
    <mergeCell ref="F33:G33"/>
  </mergeCells>
  <phoneticPr fontId="1" type="noConversion"/>
  <dataValidations count="4">
    <dataValidation type="list" allowBlank="1" showInputMessage="1" showErrorMessage="1" errorTitle="Error" error="EFOY Pro Fuel Cells can only charge 12 V, 24 V or 48 V DC batteries." sqref="D5:G5">
      <formula1>$J$5:$J$7</formula1>
    </dataValidation>
    <dataValidation type="list" allowBlank="1" showInputMessage="1" showErrorMessage="1" sqref="D13:G13">
      <formula1>$B$75:$B$199</formula1>
    </dataValidation>
    <dataValidation type="whole" operator="lessThanOrEqual" allowBlank="1" showInputMessage="1" showErrorMessage="1" errorTitle="Error" error="Sometimes it would be great, but a day only has 24 hours..." sqref="D6:G6">
      <formula1>24</formula1>
    </dataValidation>
    <dataValidation type="whole" errorStyle="warning" allowBlank="1" showErrorMessage="1" errorTitle="WARNING" error="Inclination only between 0 ° and 90 °" promptTitle="WARNING" prompt="Inclination only between 0 ° and 90 °" sqref="D17">
      <formula1>0</formula1>
      <formula2>90</formula2>
    </dataValidation>
  </dataValidations>
  <pageMargins left="0.74803149606299213" right="0.70866141732283472" top="0.42" bottom="0.39370078740157483" header="0.51181102362204722" footer="0.43307086614173229"/>
  <pageSetup paperSize="9" orientation="portrait" r:id="rId3"/>
  <headerFooter alignWithMargins="0">
    <oddFooter>&amp;L&amp;"DIN-Regular,Standard"&amp;D&amp;C&amp;"DIN-Regular,Standard"SFC Energy AG&amp;R&amp;"DIN-Regular,Standard"page &amp;P of &amp;N</oddFooter>
  </headerFooter>
  <drawing r:id="rId4"/>
  <legacyDrawing r:id="rId5"/>
</worksheet>
</file>

<file path=xl/worksheets/sheet2.xml><?xml version="1.0" encoding="utf-8"?>
<worksheet xmlns="http://schemas.openxmlformats.org/spreadsheetml/2006/main" xmlns:r="http://schemas.openxmlformats.org/officeDocument/2006/relationships">
  <sheetPr codeName="Tabelle3">
    <pageSetUpPr fitToPage="1"/>
  </sheetPr>
  <dimension ref="A1:IS468"/>
  <sheetViews>
    <sheetView zoomScaleNormal="100" zoomScaleSheetLayoutView="25" workbookViewId="0">
      <selection activeCell="D17" sqref="D17:G17"/>
    </sheetView>
  </sheetViews>
  <sheetFormatPr baseColWidth="10" defaultRowHeight="12.75"/>
  <cols>
    <col min="1" max="1" width="2.28515625" style="1" bestFit="1" customWidth="1"/>
    <col min="2" max="2" width="63.85546875" style="8" customWidth="1"/>
    <col min="3" max="3" width="10.5703125" style="8" hidden="1" customWidth="1"/>
    <col min="4" max="4" width="13.140625" style="8" customWidth="1"/>
    <col min="5" max="6" width="4.42578125" style="8" customWidth="1"/>
    <col min="7" max="7" width="13.85546875" style="8" customWidth="1"/>
    <col min="8" max="8" width="3.42578125" style="8" customWidth="1"/>
    <col min="9" max="9" width="11.42578125" style="7" customWidth="1"/>
    <col min="10" max="10" width="22.140625" style="7" customWidth="1"/>
    <col min="11" max="11" width="15" style="7" customWidth="1"/>
    <col min="12" max="12" width="22.5703125" style="7" customWidth="1"/>
    <col min="13" max="13" width="25.5703125" style="7" customWidth="1"/>
    <col min="14" max="14" width="21.5703125" style="7" customWidth="1"/>
    <col min="15" max="15" width="24.28515625" style="7" customWidth="1"/>
    <col min="16" max="16" width="23.85546875" style="7" customWidth="1"/>
    <col min="17" max="17" width="16.85546875" style="7" customWidth="1"/>
    <col min="18" max="18" width="21.140625" style="7" customWidth="1"/>
    <col min="19" max="24" width="11.42578125" style="7" customWidth="1"/>
    <col min="25" max="41" width="11.42578125" style="8" customWidth="1"/>
    <col min="42" max="16384" width="11.42578125" style="8"/>
  </cols>
  <sheetData>
    <row r="1" spans="2:11" s="1" customFormat="1" ht="50.25" customHeight="1">
      <c r="B1" s="264" t="s">
        <v>547</v>
      </c>
      <c r="C1" s="264"/>
      <c r="D1" s="265"/>
      <c r="E1" s="265"/>
      <c r="F1" s="265"/>
      <c r="G1" s="265"/>
      <c r="H1" s="2"/>
      <c r="I1" s="2"/>
      <c r="J1" s="2"/>
      <c r="K1" s="2"/>
    </row>
    <row r="2" spans="2:11" s="1" customFormat="1" ht="27.75" customHeight="1">
      <c r="B2" s="17" t="s">
        <v>73</v>
      </c>
      <c r="C2" s="17"/>
      <c r="D2" s="266"/>
      <c r="E2" s="266"/>
      <c r="F2" s="266"/>
      <c r="G2" s="266"/>
      <c r="H2" s="17"/>
      <c r="I2" s="17"/>
      <c r="J2" s="17"/>
      <c r="K2" s="2"/>
    </row>
    <row r="3" spans="2:11" s="2" customFormat="1" ht="15" customHeight="1">
      <c r="B3" s="267" t="s">
        <v>74</v>
      </c>
      <c r="C3" s="268"/>
      <c r="D3" s="268"/>
      <c r="E3" s="268"/>
      <c r="F3" s="268"/>
      <c r="G3" s="269"/>
      <c r="H3" s="47"/>
      <c r="I3" s="19"/>
      <c r="J3" s="9"/>
    </row>
    <row r="4" spans="2:11" s="2" customFormat="1" ht="15">
      <c r="B4" s="21" t="s">
        <v>75</v>
      </c>
      <c r="C4" s="22"/>
      <c r="D4" s="270">
        <v>2</v>
      </c>
      <c r="E4" s="271"/>
      <c r="F4" s="271"/>
      <c r="G4" s="272"/>
      <c r="H4" s="47"/>
      <c r="I4" s="19"/>
    </row>
    <row r="5" spans="2:11" s="2" customFormat="1" ht="15">
      <c r="B5" s="21" t="s">
        <v>76</v>
      </c>
      <c r="C5" s="22"/>
      <c r="D5" s="273">
        <v>24</v>
      </c>
      <c r="E5" s="274"/>
      <c r="F5" s="274"/>
      <c r="G5" s="275"/>
      <c r="H5" s="47"/>
      <c r="I5" s="19"/>
      <c r="J5" s="20">
        <v>12</v>
      </c>
    </row>
    <row r="6" spans="2:11" s="2" customFormat="1" ht="15">
      <c r="B6" s="24" t="s">
        <v>77</v>
      </c>
      <c r="C6" s="23"/>
      <c r="D6" s="276">
        <v>24</v>
      </c>
      <c r="E6" s="277"/>
      <c r="F6" s="277"/>
      <c r="G6" s="278"/>
      <c r="H6" s="45" t="str">
        <f>IF(D6&gt;24,"Please enter a value between 0 and 24","")</f>
        <v/>
      </c>
      <c r="J6" s="20">
        <v>24</v>
      </c>
    </row>
    <row r="7" spans="2:11" s="2" customFormat="1" ht="15">
      <c r="B7" s="24" t="s">
        <v>78</v>
      </c>
      <c r="C7" s="23"/>
      <c r="D7" s="293">
        <f>D4*D5</f>
        <v>48</v>
      </c>
      <c r="E7" s="294"/>
      <c r="F7" s="294"/>
      <c r="G7" s="295"/>
      <c r="H7" s="18"/>
      <c r="J7" s="20">
        <v>48</v>
      </c>
    </row>
    <row r="8" spans="2:11" s="2" customFormat="1" ht="15">
      <c r="B8" s="25" t="s">
        <v>79</v>
      </c>
      <c r="C8" s="26"/>
      <c r="D8" s="282">
        <f>IF(D6&gt;24,"Fehler!!!",D7*D6)</f>
        <v>1152</v>
      </c>
      <c r="E8" s="283"/>
      <c r="F8" s="283"/>
      <c r="G8" s="284"/>
      <c r="H8" s="296"/>
      <c r="I8" s="296"/>
    </row>
    <row r="9" spans="2:11" s="2" customFormat="1" ht="9.75" customHeight="1">
      <c r="B9" s="297"/>
      <c r="C9" s="297"/>
      <c r="D9" s="297"/>
      <c r="E9" s="297"/>
      <c r="F9" s="297"/>
      <c r="G9" s="297"/>
      <c r="H9" s="12"/>
      <c r="I9" s="12"/>
    </row>
    <row r="10" spans="2:11" s="2" customFormat="1" ht="15">
      <c r="B10" s="267" t="s">
        <v>94</v>
      </c>
      <c r="C10" s="268"/>
      <c r="D10" s="268"/>
      <c r="E10" s="268"/>
      <c r="F10" s="268"/>
      <c r="G10" s="269"/>
      <c r="H10" s="3"/>
      <c r="I10" s="13"/>
      <c r="K10" s="3"/>
    </row>
    <row r="11" spans="2:11" s="2" customFormat="1" ht="18">
      <c r="B11" s="25" t="s">
        <v>83</v>
      </c>
      <c r="C11" s="27"/>
      <c r="D11" s="298">
        <v>500</v>
      </c>
      <c r="E11" s="299"/>
      <c r="F11" s="299"/>
      <c r="G11" s="300"/>
      <c r="H11" s="48"/>
      <c r="I11" s="15"/>
      <c r="K11" s="3"/>
    </row>
    <row r="12" spans="2:11" s="2" customFormat="1" ht="15">
      <c r="B12" s="28" t="s">
        <v>80</v>
      </c>
      <c r="C12" s="29"/>
      <c r="D12" s="279">
        <v>0.15</v>
      </c>
      <c r="E12" s="280"/>
      <c r="F12" s="280"/>
      <c r="G12" s="281"/>
      <c r="H12" s="3"/>
      <c r="I12" s="14"/>
      <c r="K12" s="3"/>
    </row>
    <row r="13" spans="2:11" s="2" customFormat="1" ht="15" customHeight="1">
      <c r="B13" s="39" t="s">
        <v>81</v>
      </c>
      <c r="C13" s="29"/>
      <c r="D13" s="279" t="s">
        <v>226</v>
      </c>
      <c r="E13" s="280"/>
      <c r="F13" s="280"/>
      <c r="G13" s="281"/>
      <c r="H13" s="3"/>
      <c r="I13" s="14"/>
      <c r="K13" s="3"/>
    </row>
    <row r="14" spans="2:11" s="2" customFormat="1" ht="15">
      <c r="B14" s="25" t="s">
        <v>82</v>
      </c>
      <c r="C14" s="30"/>
      <c r="D14" s="282">
        <f>MIN(D34:E45)/30*1000</f>
        <v>0</v>
      </c>
      <c r="E14" s="283"/>
      <c r="F14" s="283"/>
      <c r="G14" s="284"/>
      <c r="H14" s="3"/>
      <c r="I14" s="285"/>
      <c r="J14" s="285"/>
      <c r="K14" s="3"/>
    </row>
    <row r="15" spans="2:11" s="2" customFormat="1" ht="15">
      <c r="B15" s="28" t="s">
        <v>84</v>
      </c>
      <c r="C15" s="30"/>
      <c r="D15" s="286">
        <f>SUM(D34:E45)</f>
        <v>371.96472222222224</v>
      </c>
      <c r="E15" s="287"/>
      <c r="F15" s="287"/>
      <c r="G15" s="288"/>
      <c r="H15" s="3"/>
      <c r="I15" s="72"/>
      <c r="J15" s="72">
        <v>0</v>
      </c>
      <c r="K15" s="3"/>
    </row>
    <row r="16" spans="2:11" s="2" customFormat="1" ht="15">
      <c r="B16" s="28" t="s">
        <v>85</v>
      </c>
      <c r="C16" s="30"/>
      <c r="D16" s="289">
        <f>D11/120</f>
        <v>4.166666666666667</v>
      </c>
      <c r="E16" s="290"/>
      <c r="F16" s="291">
        <f>D16/0.0929</f>
        <v>44.851094366702554</v>
      </c>
      <c r="G16" s="292"/>
      <c r="H16" s="3"/>
      <c r="I16" s="3"/>
      <c r="J16" s="3">
        <v>45</v>
      </c>
      <c r="K16" s="3"/>
    </row>
    <row r="17" spans="2:18" s="2" customFormat="1" ht="15">
      <c r="B17" s="74" t="s">
        <v>260</v>
      </c>
      <c r="C17" s="31"/>
      <c r="D17" s="332">
        <v>45</v>
      </c>
      <c r="E17" s="333"/>
      <c r="F17" s="333"/>
      <c r="G17" s="334"/>
      <c r="H17" s="3"/>
      <c r="I17" s="3"/>
      <c r="J17" s="3">
        <v>75</v>
      </c>
      <c r="K17" s="3"/>
    </row>
    <row r="18" spans="2:18" s="2" customFormat="1" ht="9.75" customHeight="1">
      <c r="B18" s="304"/>
      <c r="C18" s="304"/>
      <c r="D18" s="305"/>
      <c r="E18" s="305"/>
      <c r="F18" s="305"/>
      <c r="G18" s="305"/>
      <c r="H18" s="3"/>
      <c r="I18" s="3"/>
      <c r="J18" s="3">
        <v>90</v>
      </c>
      <c r="K18" s="3"/>
    </row>
    <row r="19" spans="2:18" s="2" customFormat="1" ht="15" customHeight="1">
      <c r="B19" s="40" t="s">
        <v>25</v>
      </c>
      <c r="C19" s="31"/>
      <c r="D19" s="306"/>
      <c r="E19" s="307"/>
      <c r="F19" s="307"/>
      <c r="G19" s="308"/>
      <c r="H19" s="3"/>
      <c r="I19" s="3"/>
      <c r="J19" s="3"/>
      <c r="K19" s="3"/>
      <c r="L19" s="41" t="s">
        <v>186</v>
      </c>
      <c r="M19" s="41" t="s">
        <v>183</v>
      </c>
      <c r="N19" s="41" t="s">
        <v>187</v>
      </c>
      <c r="O19" s="41" t="s">
        <v>176</v>
      </c>
      <c r="P19" s="41" t="s">
        <v>177</v>
      </c>
      <c r="Q19" s="41" t="s">
        <v>179</v>
      </c>
      <c r="R19" s="41" t="s">
        <v>180</v>
      </c>
    </row>
    <row r="20" spans="2:18" s="2" customFormat="1" ht="15" customHeight="1">
      <c r="B20" s="32" t="s">
        <v>14</v>
      </c>
      <c r="C20" s="26"/>
      <c r="D20" s="309">
        <f>IF(D17=0,E73,IF(D17=J16,Q73,IF(D17=J17,AC73,IF(D17=90,AO73,""))))</f>
        <v>0</v>
      </c>
      <c r="E20" s="309"/>
      <c r="F20" s="309"/>
      <c r="G20" s="309"/>
      <c r="H20" s="3"/>
      <c r="I20" s="3"/>
      <c r="J20" s="3"/>
      <c r="K20" s="3"/>
      <c r="L20" s="70">
        <v>0</v>
      </c>
      <c r="M20" s="55">
        <v>0</v>
      </c>
      <c r="N20" s="55">
        <v>0</v>
      </c>
      <c r="O20" s="53" t="s">
        <v>189</v>
      </c>
      <c r="P20" s="53">
        <v>0</v>
      </c>
      <c r="Q20" s="64" t="s">
        <v>188</v>
      </c>
      <c r="R20" s="53">
        <v>0</v>
      </c>
    </row>
    <row r="21" spans="2:18" s="2" customFormat="1" ht="15">
      <c r="B21" s="32" t="s">
        <v>15</v>
      </c>
      <c r="C21" s="26"/>
      <c r="D21" s="301">
        <f>IF(D17=0,F73,IF(D17=J16,R73,IF(D17=J17,AD73,IF(D17=90,AP73,""))))</f>
        <v>0.77703703703703719</v>
      </c>
      <c r="E21" s="302"/>
      <c r="F21" s="302"/>
      <c r="G21" s="303"/>
      <c r="H21" s="3"/>
      <c r="I21" s="3"/>
      <c r="J21" s="3"/>
      <c r="K21" s="3"/>
      <c r="L21" s="70">
        <f t="shared" ref="L21:L32" si="0">R21*24</f>
        <v>840</v>
      </c>
      <c r="M21" s="55">
        <f t="shared" ref="M21:M32" si="1">R21*24*30/1000</f>
        <v>25.2</v>
      </c>
      <c r="N21" s="55">
        <f>M21*12</f>
        <v>302.39999999999998</v>
      </c>
      <c r="O21" s="53" t="s">
        <v>178</v>
      </c>
      <c r="P21" s="53">
        <v>35</v>
      </c>
      <c r="Q21" s="53">
        <v>1</v>
      </c>
      <c r="R21" s="53">
        <f>IF($D$5=48,1,P21*Q21)</f>
        <v>35</v>
      </c>
    </row>
    <row r="22" spans="2:18" s="2" customFormat="1" ht="15">
      <c r="B22" s="32" t="s">
        <v>16</v>
      </c>
      <c r="C22" s="26"/>
      <c r="D22" s="301">
        <f>IF(D17=0,G73,IF(D17=J16,S73,IF(D17=J17,AE73,IF(D17=90,AQ73,""))))</f>
        <v>2.0966666666666667</v>
      </c>
      <c r="E22" s="302"/>
      <c r="F22" s="302"/>
      <c r="G22" s="303"/>
      <c r="H22" s="3"/>
      <c r="I22" s="3"/>
      <c r="J22" s="3"/>
      <c r="K22" s="3"/>
      <c r="L22" s="70">
        <f t="shared" si="0"/>
        <v>2280</v>
      </c>
      <c r="M22" s="55">
        <f t="shared" si="1"/>
        <v>68.400000000000006</v>
      </c>
      <c r="N22" s="55">
        <f t="shared" ref="N22:N32" si="2">M22*12</f>
        <v>820.80000000000007</v>
      </c>
      <c r="O22" s="53" t="s">
        <v>181</v>
      </c>
      <c r="P22" s="53">
        <v>95</v>
      </c>
      <c r="Q22" s="53">
        <v>1</v>
      </c>
      <c r="R22" s="53">
        <f>IF($D$5=48,1,P22*Q22)</f>
        <v>95</v>
      </c>
    </row>
    <row r="23" spans="2:18" s="2" customFormat="1" ht="15">
      <c r="B23" s="32" t="s">
        <v>17</v>
      </c>
      <c r="C23" s="26"/>
      <c r="D23" s="301">
        <f>IF(D17=0,H73,IF(D17=J16,T73,IF(D17=J17,AF73,IF(D17=90,AR73,""))))</f>
        <v>4.1166666666666663</v>
      </c>
      <c r="E23" s="302"/>
      <c r="F23" s="302"/>
      <c r="G23" s="303"/>
      <c r="H23" s="3"/>
      <c r="I23" s="3"/>
      <c r="J23" s="3"/>
      <c r="K23" s="3"/>
      <c r="L23" s="70">
        <f t="shared" si="0"/>
        <v>4560</v>
      </c>
      <c r="M23" s="55">
        <f t="shared" si="1"/>
        <v>136.80000000000001</v>
      </c>
      <c r="N23" s="55">
        <f t="shared" si="2"/>
        <v>1641.6000000000001</v>
      </c>
      <c r="O23" s="53" t="s">
        <v>181</v>
      </c>
      <c r="P23" s="53">
        <v>95</v>
      </c>
      <c r="Q23" s="53">
        <v>2</v>
      </c>
      <c r="R23" s="53">
        <f t="shared" ref="R23:R24" si="3">IF($D$5=48,1,P23*Q23)</f>
        <v>190</v>
      </c>
    </row>
    <row r="24" spans="2:18" s="2" customFormat="1" ht="15">
      <c r="B24" s="32" t="s">
        <v>4</v>
      </c>
      <c r="C24" s="26"/>
      <c r="D24" s="301">
        <f>IF(D17=0,I73,IF(D17=J16,U73,IF(D17=J17,AG73,IF(D17=90,AS73,""))))</f>
        <v>5.0170370370370376</v>
      </c>
      <c r="E24" s="302"/>
      <c r="F24" s="302"/>
      <c r="G24" s="303"/>
      <c r="H24" s="3"/>
      <c r="I24" s="3"/>
      <c r="J24" s="3"/>
      <c r="K24" s="3"/>
      <c r="L24" s="70">
        <f t="shared" si="0"/>
        <v>6840</v>
      </c>
      <c r="M24" s="55">
        <f t="shared" si="1"/>
        <v>205.2</v>
      </c>
      <c r="N24" s="55">
        <f t="shared" si="2"/>
        <v>2462.3999999999996</v>
      </c>
      <c r="O24" s="53" t="s">
        <v>181</v>
      </c>
      <c r="P24" s="53">
        <v>95</v>
      </c>
      <c r="Q24" s="53">
        <v>3</v>
      </c>
      <c r="R24" s="53">
        <f t="shared" si="3"/>
        <v>285</v>
      </c>
    </row>
    <row r="25" spans="2:18" s="2" customFormat="1" ht="15">
      <c r="B25" s="32" t="s">
        <v>18</v>
      </c>
      <c r="C25" s="26"/>
      <c r="D25" s="301">
        <f>IF(D17=0,J73,IF(D17=J16,V73,IF(D17=J17,AH73,IF(D17=90,AT73,""))))</f>
        <v>5</v>
      </c>
      <c r="E25" s="302"/>
      <c r="F25" s="302"/>
      <c r="G25" s="303"/>
      <c r="H25" s="3"/>
      <c r="I25" s="3"/>
      <c r="J25" s="3"/>
      <c r="K25" s="3"/>
      <c r="L25" s="70">
        <f t="shared" si="0"/>
        <v>6840</v>
      </c>
      <c r="M25" s="55">
        <f t="shared" si="1"/>
        <v>205.2</v>
      </c>
      <c r="N25" s="55">
        <f t="shared" si="2"/>
        <v>2462.3999999999996</v>
      </c>
      <c r="O25" s="53" t="s">
        <v>181</v>
      </c>
      <c r="P25" s="53">
        <v>95</v>
      </c>
      <c r="Q25" s="53">
        <f>IF($D$5=24,3,4)</f>
        <v>3</v>
      </c>
      <c r="R25" s="53">
        <f>IF($D$5=48,1,P25*Q25)</f>
        <v>285</v>
      </c>
    </row>
    <row r="26" spans="2:18" s="2" customFormat="1" ht="15">
      <c r="B26" s="32" t="s">
        <v>19</v>
      </c>
      <c r="C26" s="26"/>
      <c r="D26" s="301">
        <f>IF(D17=0,K73,IF(D17=J16,W73,IF(D17=J17,AI73,IF(D17=90,AU73,""))))</f>
        <v>4.8266666666666671</v>
      </c>
      <c r="E26" s="302"/>
      <c r="F26" s="302"/>
      <c r="G26" s="303"/>
      <c r="H26" s="3"/>
      <c r="I26" s="3"/>
      <c r="J26" s="3"/>
      <c r="K26" s="3"/>
      <c r="L26" s="70">
        <f t="shared" si="0"/>
        <v>6840</v>
      </c>
      <c r="M26" s="55">
        <f t="shared" si="1"/>
        <v>205.2</v>
      </c>
      <c r="N26" s="55">
        <f t="shared" si="2"/>
        <v>2462.3999999999996</v>
      </c>
      <c r="O26" s="53" t="s">
        <v>181</v>
      </c>
      <c r="P26" s="53">
        <v>95</v>
      </c>
      <c r="Q26" s="53">
        <f>IF($D$5=24,3,5)</f>
        <v>3</v>
      </c>
      <c r="R26" s="53">
        <f>IF($D$5=48,1,IF($D$5=24,285,465))</f>
        <v>285</v>
      </c>
    </row>
    <row r="27" spans="2:18" s="2" customFormat="1" ht="15">
      <c r="B27" s="32" t="s">
        <v>20</v>
      </c>
      <c r="C27" s="26"/>
      <c r="D27" s="301">
        <f>IF(D17=0,L73,IF(D17=J16,X73,IF(D17=J17,AJ73,IF(D17=90,AV73,""))))</f>
        <v>3.7614814814814812</v>
      </c>
      <c r="E27" s="302"/>
      <c r="F27" s="302"/>
      <c r="G27" s="303"/>
      <c r="H27" s="3"/>
      <c r="I27" s="3"/>
      <c r="J27" s="3"/>
      <c r="K27" s="3"/>
      <c r="L27" s="70">
        <f t="shared" si="0"/>
        <v>11184</v>
      </c>
      <c r="M27" s="55">
        <f t="shared" si="1"/>
        <v>335.52</v>
      </c>
      <c r="N27" s="55">
        <f t="shared" si="2"/>
        <v>4026.24</v>
      </c>
      <c r="O27" s="53" t="s">
        <v>182</v>
      </c>
      <c r="P27" s="53">
        <v>466</v>
      </c>
      <c r="Q27" s="53">
        <v>1</v>
      </c>
      <c r="R27" s="53">
        <f>IF($D$5=12,0,P27*Q27)</f>
        <v>466</v>
      </c>
    </row>
    <row r="28" spans="2:18" s="2" customFormat="1" ht="15">
      <c r="B28" s="32" t="s">
        <v>21</v>
      </c>
      <c r="C28" s="26"/>
      <c r="D28" s="301">
        <f>IF(D17=0,M73,IF(D17=J16,Y73,IF(D17=J17,AK73,IF(D17=90,AW73,""))))</f>
        <v>2.4522222222222223</v>
      </c>
      <c r="E28" s="302"/>
      <c r="F28" s="302"/>
      <c r="G28" s="303"/>
      <c r="H28" s="3"/>
      <c r="I28" s="3"/>
      <c r="J28" s="3"/>
      <c r="K28" s="3"/>
      <c r="L28" s="70">
        <f t="shared" si="0"/>
        <v>22368</v>
      </c>
      <c r="M28" s="55">
        <f t="shared" si="1"/>
        <v>671.04</v>
      </c>
      <c r="N28" s="55">
        <f t="shared" si="2"/>
        <v>8052.48</v>
      </c>
      <c r="O28" s="53" t="s">
        <v>182</v>
      </c>
      <c r="P28" s="53">
        <v>466</v>
      </c>
      <c r="Q28" s="53">
        <v>2</v>
      </c>
      <c r="R28" s="53">
        <f t="shared" ref="R28:R31" si="4">IF($D$5=12,0,P28*Q28)</f>
        <v>932</v>
      </c>
    </row>
    <row r="29" spans="2:18" s="2" customFormat="1" ht="15">
      <c r="B29" s="32" t="s">
        <v>22</v>
      </c>
      <c r="C29" s="26"/>
      <c r="D29" s="301">
        <f>IF(D17=0,N73,IF(D17=J16,Z73,IF(D17=J17,AL73,IF(D17=90,AX73,""))))</f>
        <v>1.125925925925926</v>
      </c>
      <c r="E29" s="302"/>
      <c r="F29" s="302"/>
      <c r="G29" s="303"/>
      <c r="H29" s="3"/>
      <c r="I29" s="3"/>
      <c r="J29" s="3"/>
      <c r="K29" s="3"/>
      <c r="L29" s="70">
        <f t="shared" si="0"/>
        <v>33552</v>
      </c>
      <c r="M29" s="55">
        <f t="shared" si="1"/>
        <v>1006.56</v>
      </c>
      <c r="N29" s="55">
        <f t="shared" si="2"/>
        <v>12078.72</v>
      </c>
      <c r="O29" s="53" t="s">
        <v>182</v>
      </c>
      <c r="P29" s="53">
        <v>466</v>
      </c>
      <c r="Q29" s="53">
        <v>3</v>
      </c>
      <c r="R29" s="53">
        <f t="shared" si="4"/>
        <v>1398</v>
      </c>
    </row>
    <row r="30" spans="2:18" s="2" customFormat="1" ht="15">
      <c r="B30" s="32" t="s">
        <v>23</v>
      </c>
      <c r="C30" s="26"/>
      <c r="D30" s="301">
        <f>IF(D17=0,O73,IF(D17=J16,AA73,IF(D17=J17,AM73,IF(D17=90,AY73,""))))</f>
        <v>0</v>
      </c>
      <c r="E30" s="302"/>
      <c r="F30" s="302"/>
      <c r="G30" s="303"/>
      <c r="H30" s="3"/>
      <c r="I30" s="3"/>
      <c r="J30" s="3"/>
      <c r="K30" s="3"/>
      <c r="L30" s="70">
        <f t="shared" si="0"/>
        <v>44736</v>
      </c>
      <c r="M30" s="55">
        <f t="shared" si="1"/>
        <v>1342.08</v>
      </c>
      <c r="N30" s="55">
        <f t="shared" si="2"/>
        <v>16104.96</v>
      </c>
      <c r="O30" s="53" t="s">
        <v>182</v>
      </c>
      <c r="P30" s="53">
        <v>466</v>
      </c>
      <c r="Q30" s="53">
        <v>4</v>
      </c>
      <c r="R30" s="53">
        <f t="shared" si="4"/>
        <v>1864</v>
      </c>
    </row>
    <row r="31" spans="2:18" s="2" customFormat="1" ht="15">
      <c r="B31" s="32" t="s">
        <v>24</v>
      </c>
      <c r="C31" s="26"/>
      <c r="D31" s="301">
        <f>IF(D17=0,P73,IF(D17=J16,AB73,IF(D17=J17,AN73,IF(D17=90,AZ73,""))))</f>
        <v>0</v>
      </c>
      <c r="E31" s="302"/>
      <c r="F31" s="302"/>
      <c r="G31" s="303"/>
      <c r="H31" s="3"/>
      <c r="I31" s="3"/>
      <c r="J31" s="3"/>
      <c r="K31" s="3"/>
      <c r="L31" s="56">
        <f t="shared" si="0"/>
        <v>55920</v>
      </c>
      <c r="M31" s="55">
        <f t="shared" si="1"/>
        <v>1677.6</v>
      </c>
      <c r="N31" s="55">
        <f t="shared" si="2"/>
        <v>20131.199999999997</v>
      </c>
      <c r="O31" s="53" t="s">
        <v>182</v>
      </c>
      <c r="P31" s="53">
        <v>466</v>
      </c>
      <c r="Q31" s="53">
        <v>5</v>
      </c>
      <c r="R31" s="53">
        <f t="shared" si="4"/>
        <v>2330</v>
      </c>
    </row>
    <row r="32" spans="2:18" s="2" customFormat="1" ht="15" customHeight="1">
      <c r="B32" s="73"/>
      <c r="C32" s="73"/>
      <c r="D32" s="73"/>
      <c r="E32" s="73"/>
      <c r="F32" s="73"/>
      <c r="G32" s="73"/>
      <c r="H32" s="3"/>
      <c r="I32" s="3"/>
      <c r="J32" s="3"/>
      <c r="K32" s="3"/>
      <c r="L32" s="56">
        <f t="shared" si="0"/>
        <v>1200000</v>
      </c>
      <c r="M32" s="55">
        <f t="shared" si="1"/>
        <v>36000</v>
      </c>
      <c r="N32" s="55">
        <f t="shared" si="2"/>
        <v>432000</v>
      </c>
      <c r="O32" s="53" t="s">
        <v>196</v>
      </c>
      <c r="P32" s="53">
        <v>0</v>
      </c>
      <c r="Q32" s="64" t="s">
        <v>188</v>
      </c>
      <c r="R32" s="53">
        <f>IF(D5=12,5000,50000)</f>
        <v>50000</v>
      </c>
    </row>
    <row r="33" spans="2:20" s="2" customFormat="1" ht="15" customHeight="1">
      <c r="B33" s="40" t="s">
        <v>13</v>
      </c>
      <c r="C33" s="31"/>
      <c r="D33" s="314" t="s">
        <v>93</v>
      </c>
      <c r="E33" s="314"/>
      <c r="F33" s="314" t="s">
        <v>74</v>
      </c>
      <c r="G33" s="314"/>
      <c r="J33" s="41" t="s">
        <v>26</v>
      </c>
      <c r="K33" s="3"/>
    </row>
    <row r="34" spans="2:20" s="2" customFormat="1" ht="15" customHeight="1">
      <c r="B34" s="32" t="s">
        <v>14</v>
      </c>
      <c r="C34" s="26"/>
      <c r="D34" s="310">
        <f>$D$11*D20*(1-$D$12)*30/1000</f>
        <v>0</v>
      </c>
      <c r="E34" s="311"/>
      <c r="F34" s="310">
        <f>$D$8*30/1000</f>
        <v>34.56</v>
      </c>
      <c r="G34" s="311"/>
      <c r="J34" s="42">
        <f t="shared" ref="J34:J45" si="5">IF(D34&lt;F34,F34-D34,0)</f>
        <v>34.56</v>
      </c>
      <c r="K34" s="3"/>
    </row>
    <row r="35" spans="2:20" s="2" customFormat="1" ht="15">
      <c r="B35" s="32" t="s">
        <v>15</v>
      </c>
      <c r="C35" s="26"/>
      <c r="D35" s="310">
        <f>$D$11*D21*(1-$D$12)*30/1000</f>
        <v>9.9072222222222237</v>
      </c>
      <c r="E35" s="311"/>
      <c r="F35" s="310">
        <f t="shared" ref="F35:F45" si="6">$D$8*30/1000</f>
        <v>34.56</v>
      </c>
      <c r="G35" s="311"/>
      <c r="J35" s="42">
        <f t="shared" si="5"/>
        <v>24.652777777777779</v>
      </c>
      <c r="K35" s="3"/>
    </row>
    <row r="36" spans="2:20" s="2" customFormat="1" ht="15">
      <c r="B36" s="32" t="s">
        <v>95</v>
      </c>
      <c r="C36" s="26"/>
      <c r="D36" s="310">
        <f t="shared" ref="D36:D45" si="7">$D$11*D22*(1-$D$12)*30/1000</f>
        <v>26.732499999999995</v>
      </c>
      <c r="E36" s="311"/>
      <c r="F36" s="310">
        <f t="shared" si="6"/>
        <v>34.56</v>
      </c>
      <c r="G36" s="311"/>
      <c r="J36" s="42">
        <f t="shared" si="5"/>
        <v>7.8275000000000077</v>
      </c>
      <c r="K36" s="3"/>
      <c r="M36" s="312">
        <v>12</v>
      </c>
      <c r="N36" s="313"/>
      <c r="O36" s="312">
        <v>24</v>
      </c>
      <c r="P36" s="313"/>
      <c r="Q36" s="312">
        <v>48</v>
      </c>
      <c r="R36" s="313"/>
      <c r="S36" s="312" t="s">
        <v>190</v>
      </c>
      <c r="T36" s="313"/>
    </row>
    <row r="37" spans="2:20" s="2" customFormat="1" ht="15">
      <c r="B37" s="32" t="s">
        <v>17</v>
      </c>
      <c r="C37" s="26"/>
      <c r="D37" s="310">
        <f t="shared" si="7"/>
        <v>52.48749999999999</v>
      </c>
      <c r="E37" s="311"/>
      <c r="F37" s="310">
        <f t="shared" si="6"/>
        <v>34.56</v>
      </c>
      <c r="G37" s="311"/>
      <c r="J37" s="42">
        <f t="shared" si="5"/>
        <v>0</v>
      </c>
      <c r="K37" s="3"/>
      <c r="L37" s="53" t="s">
        <v>178</v>
      </c>
      <c r="M37" s="58">
        <v>50</v>
      </c>
      <c r="N37" s="59">
        <v>200</v>
      </c>
      <c r="O37" s="58">
        <v>30</v>
      </c>
      <c r="P37" s="59">
        <v>100</v>
      </c>
      <c r="Q37" s="58">
        <v>0</v>
      </c>
      <c r="R37" s="58">
        <v>0</v>
      </c>
      <c r="S37" s="58">
        <f>IF($D$5=24,O37,IF($D$5=12,M37,"0"))</f>
        <v>30</v>
      </c>
      <c r="T37" s="58">
        <f>IF($D$5=24,P37,IF($D$5=12,N37,"0"))</f>
        <v>100</v>
      </c>
    </row>
    <row r="38" spans="2:20" s="2" customFormat="1" ht="15">
      <c r="B38" s="32" t="s">
        <v>96</v>
      </c>
      <c r="C38" s="26"/>
      <c r="D38" s="310">
        <f t="shared" si="7"/>
        <v>63.967222222222226</v>
      </c>
      <c r="E38" s="311"/>
      <c r="F38" s="310">
        <f t="shared" si="6"/>
        <v>34.56</v>
      </c>
      <c r="G38" s="311"/>
      <c r="J38" s="42">
        <f t="shared" si="5"/>
        <v>0</v>
      </c>
      <c r="K38" s="3"/>
      <c r="L38" s="53" t="s">
        <v>181</v>
      </c>
      <c r="M38" s="58">
        <v>100</v>
      </c>
      <c r="N38" s="59">
        <v>400</v>
      </c>
      <c r="O38" s="58">
        <v>60</v>
      </c>
      <c r="P38" s="59">
        <v>200</v>
      </c>
      <c r="Q38" s="58">
        <v>0</v>
      </c>
      <c r="R38" s="58">
        <v>0</v>
      </c>
      <c r="S38" s="58">
        <f>IF($D$5=24,O38,IF($D$5=12,M38,"0"))</f>
        <v>60</v>
      </c>
      <c r="T38" s="58">
        <f>IF($D$5=24,P38,IF($D$5=12,N38,"0"))</f>
        <v>200</v>
      </c>
    </row>
    <row r="39" spans="2:20" s="2" customFormat="1" ht="15">
      <c r="B39" s="32" t="s">
        <v>18</v>
      </c>
      <c r="C39" s="26"/>
      <c r="D39" s="310">
        <f t="shared" si="7"/>
        <v>63.75</v>
      </c>
      <c r="E39" s="311"/>
      <c r="F39" s="310">
        <f t="shared" si="6"/>
        <v>34.56</v>
      </c>
      <c r="G39" s="311"/>
      <c r="J39" s="42">
        <f t="shared" si="5"/>
        <v>0</v>
      </c>
      <c r="K39" s="3"/>
      <c r="L39" s="53" t="s">
        <v>182</v>
      </c>
      <c r="M39" s="58">
        <v>0</v>
      </c>
      <c r="N39" s="58">
        <v>0</v>
      </c>
      <c r="O39" s="58">
        <v>100</v>
      </c>
      <c r="P39" s="59">
        <v>800</v>
      </c>
      <c r="Q39" s="58">
        <v>50</v>
      </c>
      <c r="R39" s="59">
        <v>400</v>
      </c>
      <c r="S39" s="58">
        <f>IF($D$5=24,O39,IF($D$5=48,Q39,"0"))</f>
        <v>100</v>
      </c>
      <c r="T39" s="58">
        <f>IF($D$5=24,P39,IF($D$5=48,R39,"0"))</f>
        <v>800</v>
      </c>
    </row>
    <row r="40" spans="2:20" s="2" customFormat="1" ht="15">
      <c r="B40" s="32" t="s">
        <v>19</v>
      </c>
      <c r="C40" s="26"/>
      <c r="D40" s="310">
        <f t="shared" si="7"/>
        <v>61.540000000000006</v>
      </c>
      <c r="E40" s="311"/>
      <c r="F40" s="310">
        <f t="shared" si="6"/>
        <v>34.56</v>
      </c>
      <c r="G40" s="311"/>
      <c r="J40" s="42">
        <f t="shared" si="5"/>
        <v>0</v>
      </c>
      <c r="K40" s="3"/>
      <c r="L40" s="53" t="s">
        <v>189</v>
      </c>
      <c r="M40" s="68" t="str">
        <f>IF(M33=0,"n/a",(IF(#REF!&gt;25640,"not possible",L40*M34/(M33/360*1000))))</f>
        <v>n/a</v>
      </c>
      <c r="N40" s="68" t="str">
        <f>IF(N33=0,"n/a",(IF(#REF!&gt;25640,"not possible",M40*N34/(N33/360*1000))))</f>
        <v>n/a</v>
      </c>
      <c r="O40" s="68" t="str">
        <f>IF(O33=0,"n/a",(IF(#REF!&gt;25640,"not possible",N40*O34/(O33/360*1000))))</f>
        <v>n/a</v>
      </c>
      <c r="P40" s="68" t="str">
        <f>IF(P33=0,"n/a",(IF(#REF!&gt;25640,"not possible",O40*P34/(P33/360*1000))))</f>
        <v>n/a</v>
      </c>
      <c r="Q40" s="68" t="str">
        <f>IF(Q33=0,"n/a",(IF(#REF!&gt;25640,"not possible",P40*Q34/(Q33/360*1000))))</f>
        <v>n/a</v>
      </c>
      <c r="R40" s="68" t="str">
        <f>IF(R33=0,"n/a",(IF(#REF!&gt;25640,"not possible",Q40*R34/(R33/360*1000))))</f>
        <v>n/a</v>
      </c>
      <c r="S40" s="68" t="str">
        <f t="shared" ref="O40:T41" si="8">IF(S33=0,"n/a",(IF(S32&gt;25640,"not possible",R40*S34/(S33/360*1000))))</f>
        <v>n/a</v>
      </c>
      <c r="T40" s="68" t="str">
        <f t="shared" si="8"/>
        <v>n/a</v>
      </c>
    </row>
    <row r="41" spans="2:20" s="2" customFormat="1" ht="15">
      <c r="B41" s="32" t="s">
        <v>20</v>
      </c>
      <c r="C41" s="26"/>
      <c r="D41" s="310">
        <f t="shared" si="7"/>
        <v>47.958888888888893</v>
      </c>
      <c r="E41" s="311"/>
      <c r="F41" s="310">
        <f t="shared" si="6"/>
        <v>34.56</v>
      </c>
      <c r="G41" s="311"/>
      <c r="J41" s="42">
        <f t="shared" si="5"/>
        <v>0</v>
      </c>
      <c r="K41" s="3"/>
      <c r="L41" s="53" t="s">
        <v>196</v>
      </c>
      <c r="M41" s="68" t="str">
        <f>IF(M34=0,"n/a",(IF(M33&gt;25640,"not possible",L41*M35/(M34/360*1000))))</f>
        <v>n/a</v>
      </c>
      <c r="N41" s="68" t="str">
        <f>IF(N34=0,"n/a",(IF(N33&gt;25640,"not possible",M41*N35/(N34/360*1000))))</f>
        <v>n/a</v>
      </c>
      <c r="O41" s="68" t="str">
        <f t="shared" si="8"/>
        <v>n/a</v>
      </c>
      <c r="P41" s="68" t="str">
        <f t="shared" si="8"/>
        <v>n/a</v>
      </c>
      <c r="Q41" s="68" t="str">
        <f t="shared" si="8"/>
        <v>n/a</v>
      </c>
      <c r="R41" s="68" t="str">
        <f t="shared" si="8"/>
        <v>n/a</v>
      </c>
      <c r="S41" s="68" t="str">
        <f t="shared" si="8"/>
        <v>n/a</v>
      </c>
      <c r="T41" s="68" t="str">
        <f t="shared" si="8"/>
        <v>n/a</v>
      </c>
    </row>
    <row r="42" spans="2:20" s="2" customFormat="1" ht="15">
      <c r="B42" s="32" t="s">
        <v>21</v>
      </c>
      <c r="C42" s="26"/>
      <c r="D42" s="310">
        <f t="shared" si="7"/>
        <v>31.26583333333333</v>
      </c>
      <c r="E42" s="311"/>
      <c r="F42" s="310">
        <f t="shared" si="6"/>
        <v>34.56</v>
      </c>
      <c r="G42" s="311"/>
      <c r="J42" s="42">
        <f t="shared" si="5"/>
        <v>3.2941666666666727</v>
      </c>
      <c r="K42" s="3"/>
    </row>
    <row r="43" spans="2:20" s="2" customFormat="1" ht="15">
      <c r="B43" s="32" t="s">
        <v>97</v>
      </c>
      <c r="C43" s="26"/>
      <c r="D43" s="310">
        <f t="shared" si="7"/>
        <v>14.355555555555558</v>
      </c>
      <c r="E43" s="311"/>
      <c r="F43" s="310">
        <f t="shared" si="6"/>
        <v>34.56</v>
      </c>
      <c r="G43" s="311"/>
      <c r="J43" s="42">
        <f t="shared" si="5"/>
        <v>20.204444444444444</v>
      </c>
      <c r="K43" s="3"/>
    </row>
    <row r="44" spans="2:20" s="2" customFormat="1" ht="15">
      <c r="B44" s="32" t="s">
        <v>23</v>
      </c>
      <c r="C44" s="26"/>
      <c r="D44" s="310">
        <f t="shared" si="7"/>
        <v>0</v>
      </c>
      <c r="E44" s="311"/>
      <c r="F44" s="310">
        <f t="shared" si="6"/>
        <v>34.56</v>
      </c>
      <c r="G44" s="311"/>
      <c r="J44" s="42">
        <f t="shared" si="5"/>
        <v>34.56</v>
      </c>
      <c r="K44" s="3"/>
    </row>
    <row r="45" spans="2:20" s="2" customFormat="1" ht="15">
      <c r="B45" s="32" t="s">
        <v>98</v>
      </c>
      <c r="C45" s="26"/>
      <c r="D45" s="310">
        <f t="shared" si="7"/>
        <v>0</v>
      </c>
      <c r="E45" s="311"/>
      <c r="F45" s="310">
        <f t="shared" si="6"/>
        <v>34.56</v>
      </c>
      <c r="G45" s="311"/>
      <c r="J45" s="42">
        <f t="shared" si="5"/>
        <v>34.56</v>
      </c>
      <c r="K45" s="3"/>
    </row>
    <row r="46" spans="2:20" s="2" customFormat="1" ht="15" customHeight="1">
      <c r="B46" s="32" t="s">
        <v>100</v>
      </c>
      <c r="C46" s="73"/>
      <c r="D46" s="310">
        <f>SUM(D34:E45)</f>
        <v>371.96472222222224</v>
      </c>
      <c r="E46" s="311"/>
      <c r="F46" s="310">
        <f>SUM(F34:G45)</f>
        <v>414.72</v>
      </c>
      <c r="G46" s="311"/>
      <c r="H46" s="3"/>
      <c r="I46" s="57" t="s">
        <v>184</v>
      </c>
      <c r="J46" s="54">
        <f>MAX(J34:J45)</f>
        <v>34.56</v>
      </c>
      <c r="K46" s="54">
        <f>INDEX(M20:M32,MATCH(J46,M20:M32,1)+1)</f>
        <v>68.400000000000006</v>
      </c>
      <c r="L46" s="3">
        <f>VLOOKUP(J46,M20:M31,1,1)</f>
        <v>25.2</v>
      </c>
    </row>
    <row r="47" spans="2:20" s="2" customFormat="1" ht="15" customHeight="1">
      <c r="B47" s="32" t="s">
        <v>101</v>
      </c>
      <c r="C47" s="73"/>
      <c r="D47" s="310">
        <f>F46-D46</f>
        <v>42.755277777777792</v>
      </c>
      <c r="E47" s="311"/>
      <c r="F47" s="73"/>
      <c r="G47" s="73"/>
      <c r="H47" s="3"/>
      <c r="I47" s="41" t="s">
        <v>185</v>
      </c>
      <c r="J47" s="54">
        <f>MIN(J34:J45)</f>
        <v>0</v>
      </c>
      <c r="K47" s="3"/>
    </row>
    <row r="48" spans="2:20" s="2" customFormat="1" ht="15" customHeight="1">
      <c r="B48" s="73"/>
      <c r="C48" s="73"/>
      <c r="D48" s="73"/>
      <c r="E48" s="73"/>
      <c r="F48" s="73"/>
      <c r="G48" s="73"/>
      <c r="H48" s="3"/>
      <c r="I48" s="3"/>
      <c r="J48" s="3"/>
      <c r="K48" s="3"/>
    </row>
    <row r="49" spans="2:24" s="2" customFormat="1" ht="15" customHeight="1">
      <c r="B49" s="73"/>
      <c r="C49" s="73"/>
      <c r="D49" s="73"/>
      <c r="E49" s="73"/>
      <c r="F49" s="73"/>
      <c r="G49" s="73"/>
      <c r="H49" s="3"/>
      <c r="I49" s="3"/>
      <c r="J49" s="3"/>
      <c r="K49" s="3"/>
    </row>
    <row r="50" spans="2:24" s="2" customFormat="1" ht="15" customHeight="1">
      <c r="B50" s="73"/>
      <c r="C50" s="73"/>
      <c r="D50" s="73"/>
      <c r="E50" s="73"/>
      <c r="F50" s="73"/>
      <c r="G50" s="73"/>
      <c r="H50" s="3"/>
      <c r="I50" s="3"/>
      <c r="J50" s="3"/>
      <c r="K50" s="3"/>
    </row>
    <row r="51" spans="2:24" s="2" customFormat="1" ht="15" customHeight="1">
      <c r="B51" s="73"/>
      <c r="C51" s="73"/>
      <c r="D51" s="73"/>
      <c r="E51" s="73"/>
      <c r="F51" s="73"/>
      <c r="G51" s="73"/>
      <c r="H51" s="3"/>
      <c r="I51" s="3"/>
      <c r="J51" s="3"/>
      <c r="K51" s="3"/>
    </row>
    <row r="52" spans="2:24" s="2" customFormat="1" ht="9.75" customHeight="1">
      <c r="B52" s="73"/>
      <c r="C52" s="73"/>
      <c r="D52" s="73"/>
      <c r="E52" s="73"/>
      <c r="F52" s="73"/>
      <c r="G52" s="73"/>
      <c r="H52" s="3"/>
      <c r="I52" s="3"/>
      <c r="J52" s="3"/>
      <c r="K52" s="3"/>
    </row>
    <row r="53" spans="2:24" s="2" customFormat="1" ht="15" customHeight="1">
      <c r="B53" s="267" t="s">
        <v>86</v>
      </c>
      <c r="C53" s="268"/>
      <c r="D53" s="268"/>
      <c r="E53" s="268"/>
      <c r="F53" s="268"/>
      <c r="G53" s="269"/>
      <c r="H53" s="3"/>
      <c r="I53" s="3"/>
      <c r="J53" s="3"/>
      <c r="K53" s="3"/>
    </row>
    <row r="54" spans="2:24" s="2" customFormat="1" ht="15">
      <c r="B54" s="317" t="s">
        <v>87</v>
      </c>
      <c r="C54" s="318"/>
      <c r="D54" s="319">
        <f>D8-D14</f>
        <v>1152</v>
      </c>
      <c r="E54" s="320"/>
      <c r="F54" s="320"/>
      <c r="G54" s="321"/>
      <c r="H54" s="44" t="str">
        <f>IF(D54&lt;0,"The energy yield of solar panel is sufficient for year-round power supply","")</f>
        <v/>
      </c>
      <c r="I54" s="3"/>
      <c r="J54" s="67">
        <f>VLOOKUP(K54,L20:R32,6,TRUE)</f>
        <v>1</v>
      </c>
      <c r="K54" s="55">
        <f>IF(D54&gt;0,INDEX(L20:L32,MATCH(D54,L20:L32,1)+1),N20)</f>
        <v>2280</v>
      </c>
      <c r="L54" s="3"/>
    </row>
    <row r="55" spans="2:24" s="2" customFormat="1" ht="15">
      <c r="B55" s="69" t="s">
        <v>88</v>
      </c>
      <c r="C55" s="37"/>
      <c r="D55" s="322">
        <f>SUM(J34:J45)</f>
        <v>159.6588888888889</v>
      </c>
      <c r="E55" s="323"/>
      <c r="F55" s="323"/>
      <c r="G55" s="324"/>
      <c r="H55" s="18"/>
      <c r="I55" s="3"/>
      <c r="J55" s="55" t="str">
        <f>VLOOKUP(K54,L20:R32,4,TRUE)</f>
        <v>EFOY Pro 2400 (Duo)</v>
      </c>
      <c r="K55" s="55">
        <f>IF(D55&gt;0,INDEX(N20:N32,MATCH(D55,N20:N32,1)+1),"0")</f>
        <v>302.39999999999998</v>
      </c>
      <c r="L55" s="3"/>
    </row>
    <row r="56" spans="2:24" s="2" customFormat="1" ht="15">
      <c r="B56" s="69" t="str">
        <f>"Recommended EFOY Pro fuel cell" &amp; IF(D56&gt;1,"s","")</f>
        <v>Recommended EFOY Pro fuel cell</v>
      </c>
      <c r="C56" s="33"/>
      <c r="D56" s="62">
        <f>IF(J54&gt;0,J54,"0")</f>
        <v>1</v>
      </c>
      <c r="E56" s="325" t="str">
        <f>IF(J55="","0",J55)</f>
        <v>EFOY Pro 2400 (Duo)</v>
      </c>
      <c r="F56" s="325"/>
      <c r="G56" s="326"/>
      <c r="H56" s="3"/>
      <c r="I56" s="3"/>
      <c r="J56" s="3"/>
      <c r="K56" s="3"/>
    </row>
    <row r="57" spans="2:24" s="2" customFormat="1" ht="15" customHeight="1">
      <c r="B57" s="21" t="str">
        <f>"Battery capacity for "&amp;D56 &amp;" "&amp;E56 &amp;" at "&amp;D5 &amp;" V"</f>
        <v>Battery capacity for 1 EFOY Pro 2400 (Duo) at 24 V</v>
      </c>
      <c r="C57" s="33"/>
      <c r="D57" s="61">
        <f>VLOOKUP(J55,L37:T41,8,FALSE)</f>
        <v>60</v>
      </c>
      <c r="E57" s="327" t="s">
        <v>89</v>
      </c>
      <c r="F57" s="327"/>
      <c r="G57" s="60">
        <f>VLOOKUP(J55,L37:T41,9,FALSE)</f>
        <v>200</v>
      </c>
      <c r="H57" s="3"/>
      <c r="I57" s="3"/>
      <c r="J57" s="3"/>
      <c r="K57" s="3"/>
    </row>
    <row r="58" spans="2:24" s="2" customFormat="1" ht="9.75" customHeight="1">
      <c r="B58" s="328"/>
      <c r="C58" s="328"/>
      <c r="D58" s="328"/>
      <c r="E58" s="328"/>
      <c r="F58" s="328"/>
      <c r="G58" s="328"/>
      <c r="H58" s="3"/>
      <c r="I58" s="3"/>
      <c r="J58" s="3"/>
      <c r="K58" s="3"/>
      <c r="X58" s="63"/>
    </row>
    <row r="59" spans="2:24" s="2" customFormat="1" ht="36.75" customHeight="1">
      <c r="B59" s="34" t="str">
        <f>"Autonomy with " &amp; D56 &amp;" "&amp;E56</f>
        <v>Autonomy with 1 EFOY Pro 2400 (Duo)</v>
      </c>
      <c r="C59" s="35"/>
      <c r="D59" s="213" t="s">
        <v>202</v>
      </c>
      <c r="E59" s="214"/>
      <c r="F59" s="213" t="s">
        <v>155</v>
      </c>
      <c r="G59" s="214"/>
      <c r="H59" s="3"/>
      <c r="I59" s="3"/>
      <c r="J59" s="3"/>
      <c r="K59" s="3"/>
    </row>
    <row r="60" spans="2:24" s="2" customFormat="1" ht="15">
      <c r="B60" s="32" t="s">
        <v>90</v>
      </c>
      <c r="C60" s="36">
        <f>ROUND(5*1000/0.9,-2)</f>
        <v>5600</v>
      </c>
      <c r="D60" s="315">
        <f>IF(D55=0,"n/a",(IF(D56="not","not possible",2*C60*D56/(D55/360*1000))))</f>
        <v>25.253839783427168</v>
      </c>
      <c r="E60" s="316"/>
      <c r="F60" s="315">
        <f>IF(D55=0,"n/a",(IF(D56="not","not possible",4*C60*D56/(D55/360*1000))))</f>
        <v>50.507679566854335</v>
      </c>
      <c r="G60" s="316"/>
      <c r="H60" s="50"/>
      <c r="I60" s="3"/>
      <c r="J60" s="3"/>
      <c r="K60" s="3"/>
    </row>
    <row r="61" spans="2:24" s="2" customFormat="1" ht="15">
      <c r="B61" s="32" t="s">
        <v>91</v>
      </c>
      <c r="C61" s="36">
        <f>ROUND(10*1000/0.9,-2)</f>
        <v>11100</v>
      </c>
      <c r="D61" s="315">
        <f>IF(D55=0,"n/a",(IF(D56="not","not possible",2*C61*D56/(D55/360*1000))))</f>
        <v>50.056718142150274</v>
      </c>
      <c r="E61" s="316"/>
      <c r="F61" s="315">
        <f>IF(D55=0,"n/a",(IF(D56="not","not possible",4*C61*D56/(D55/360*1000))))</f>
        <v>100.11343628430055</v>
      </c>
      <c r="G61" s="316"/>
      <c r="H61" s="3"/>
      <c r="I61" s="3"/>
      <c r="J61" s="3"/>
      <c r="K61" s="3"/>
    </row>
    <row r="62" spans="2:24" s="2" customFormat="1" ht="15">
      <c r="B62" s="32" t="s">
        <v>92</v>
      </c>
      <c r="C62" s="36">
        <f>ROUND(28*1000/0.9,-2)</f>
        <v>31100</v>
      </c>
      <c r="D62" s="315">
        <f>IF(D55=0,"n/a",(IF(D56="not","not possible",2*C62*D56/(D55/360*1000))))</f>
        <v>140.24900308296159</v>
      </c>
      <c r="E62" s="316"/>
      <c r="F62" s="315">
        <f>IF(D55=0,"n/a",(IF(D56="not","not possible",4*C62*D56/(D55/360*1000))))</f>
        <v>280.49800616592319</v>
      </c>
      <c r="G62" s="316"/>
      <c r="H62" s="50"/>
      <c r="I62" s="3"/>
      <c r="J62" s="3"/>
      <c r="K62" s="3"/>
      <c r="O62" s="52"/>
    </row>
    <row r="63" spans="2:24" s="2" customFormat="1" ht="28.5" customHeight="1">
      <c r="B63" s="335" t="s">
        <v>126</v>
      </c>
      <c r="C63" s="335"/>
      <c r="D63" s="335"/>
      <c r="E63" s="335"/>
      <c r="F63" s="335"/>
      <c r="G63" s="335"/>
      <c r="H63" s="3"/>
      <c r="I63" s="3"/>
      <c r="J63" s="3"/>
      <c r="K63" s="3"/>
    </row>
    <row r="64" spans="2:24" s="2" customFormat="1" ht="15">
      <c r="B64" s="338" t="s">
        <v>156</v>
      </c>
      <c r="C64" s="338"/>
      <c r="D64" s="338"/>
      <c r="E64" s="338"/>
      <c r="F64" s="338"/>
      <c r="G64" s="338"/>
      <c r="H64" s="3"/>
      <c r="I64" s="3"/>
    </row>
    <row r="65" spans="1:251" s="2" customFormat="1" ht="9.75" customHeight="1">
      <c r="B65" s="339"/>
      <c r="C65" s="339"/>
      <c r="D65" s="339"/>
      <c r="E65" s="339"/>
      <c r="F65" s="339"/>
      <c r="G65" s="339"/>
      <c r="H65" s="3"/>
      <c r="I65" s="3"/>
    </row>
    <row r="66" spans="1:251" s="2" customFormat="1" ht="18" customHeight="1">
      <c r="B66" s="65" t="s">
        <v>157</v>
      </c>
      <c r="C66" s="66"/>
      <c r="D66" s="340" t="s">
        <v>197</v>
      </c>
      <c r="E66" s="340"/>
      <c r="F66" s="340" t="s">
        <v>198</v>
      </c>
      <c r="G66" s="340"/>
      <c r="J66" s="41"/>
      <c r="K66" s="41" t="s">
        <v>180</v>
      </c>
      <c r="L66" s="41"/>
      <c r="M66" s="41"/>
      <c r="N66" s="41" t="s">
        <v>200</v>
      </c>
      <c r="O66" s="41" t="s">
        <v>199</v>
      </c>
      <c r="P66" s="41"/>
      <c r="Q66" s="41" t="s">
        <v>201</v>
      </c>
      <c r="R66" s="71"/>
      <c r="S66" s="71"/>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5"/>
      <c r="BR66" s="265"/>
      <c r="BS66" s="265"/>
      <c r="BT66" s="265"/>
      <c r="BU66" s="265"/>
      <c r="BV66" s="265"/>
      <c r="BW66" s="265"/>
      <c r="BX66" s="265"/>
      <c r="BY66" s="265"/>
      <c r="BZ66" s="265"/>
      <c r="CA66" s="265"/>
      <c r="CB66" s="265"/>
      <c r="CC66" s="265"/>
      <c r="CD66" s="265"/>
      <c r="CE66" s="265"/>
      <c r="CF66" s="265"/>
      <c r="CG66" s="265"/>
      <c r="CH66" s="265"/>
      <c r="CI66" s="265"/>
      <c r="CJ66" s="265"/>
      <c r="CK66" s="265"/>
      <c r="CL66" s="265"/>
      <c r="CM66" s="265"/>
      <c r="CN66" s="265"/>
      <c r="CO66" s="265"/>
      <c r="CP66" s="265"/>
      <c r="CQ66" s="265"/>
      <c r="CR66" s="265"/>
      <c r="CS66" s="265"/>
      <c r="CT66" s="265"/>
      <c r="CU66" s="265"/>
      <c r="CV66" s="265"/>
      <c r="CW66" s="265"/>
      <c r="CX66" s="265"/>
      <c r="CY66" s="265"/>
      <c r="CZ66" s="265"/>
      <c r="DA66" s="265"/>
      <c r="DB66" s="265"/>
      <c r="DC66" s="265"/>
      <c r="DD66" s="265"/>
      <c r="DE66" s="265"/>
      <c r="DF66" s="265"/>
      <c r="DG66" s="265"/>
      <c r="DH66" s="265"/>
      <c r="DI66" s="265"/>
      <c r="DJ66" s="265"/>
      <c r="DK66" s="265"/>
      <c r="DL66" s="265"/>
      <c r="DM66" s="265"/>
      <c r="DN66" s="265"/>
      <c r="DO66" s="265"/>
      <c r="DP66" s="265"/>
      <c r="DQ66" s="265"/>
      <c r="DR66" s="265"/>
      <c r="DS66" s="265"/>
      <c r="DT66" s="265"/>
      <c r="DU66" s="265"/>
      <c r="DV66" s="265"/>
      <c r="DW66" s="265"/>
      <c r="DX66" s="265"/>
      <c r="DY66" s="265"/>
      <c r="DZ66" s="265"/>
      <c r="EA66" s="265"/>
      <c r="EB66" s="265"/>
      <c r="EC66" s="265"/>
      <c r="ED66" s="265"/>
      <c r="EE66" s="265"/>
      <c r="EF66" s="265"/>
      <c r="EG66" s="265"/>
      <c r="EH66" s="265"/>
      <c r="EI66" s="265"/>
      <c r="EJ66" s="265"/>
      <c r="EK66" s="265"/>
      <c r="EL66" s="265"/>
      <c r="EM66" s="265"/>
      <c r="EN66" s="265"/>
      <c r="EO66" s="265"/>
      <c r="EP66" s="265"/>
      <c r="EQ66" s="265"/>
      <c r="ER66" s="265"/>
      <c r="ES66" s="265"/>
      <c r="ET66" s="265"/>
      <c r="EU66" s="265"/>
      <c r="EV66" s="265"/>
      <c r="EW66" s="265"/>
      <c r="EX66" s="265"/>
      <c r="EY66" s="265"/>
      <c r="EZ66" s="265"/>
      <c r="FA66" s="265"/>
      <c r="FB66" s="265"/>
      <c r="FC66" s="265"/>
      <c r="FD66" s="265"/>
      <c r="FE66" s="265"/>
      <c r="FF66" s="265"/>
      <c r="FG66" s="265"/>
      <c r="FH66" s="265"/>
      <c r="FI66" s="265"/>
      <c r="FJ66" s="265"/>
      <c r="FK66" s="265"/>
      <c r="FL66" s="265"/>
      <c r="FM66" s="265"/>
      <c r="FN66" s="265"/>
      <c r="FO66" s="265"/>
      <c r="FP66" s="265"/>
      <c r="FQ66" s="265"/>
      <c r="FR66" s="265"/>
      <c r="FS66" s="265"/>
      <c r="FT66" s="265"/>
      <c r="FU66" s="265"/>
      <c r="FV66" s="265"/>
      <c r="FW66" s="265"/>
      <c r="FX66" s="265"/>
      <c r="FY66" s="265"/>
      <c r="FZ66" s="265"/>
      <c r="GA66" s="265"/>
      <c r="GB66" s="265"/>
      <c r="GC66" s="265"/>
      <c r="GD66" s="265"/>
      <c r="GE66" s="265"/>
      <c r="GF66" s="265"/>
      <c r="GG66" s="265"/>
      <c r="GH66" s="265"/>
      <c r="GI66" s="265"/>
      <c r="GJ66" s="265"/>
      <c r="GK66" s="265"/>
      <c r="GL66" s="265"/>
      <c r="GM66" s="265"/>
      <c r="GN66" s="265"/>
      <c r="GO66" s="265"/>
      <c r="GP66" s="265"/>
      <c r="GQ66" s="265"/>
      <c r="GR66" s="265"/>
      <c r="GS66" s="265"/>
      <c r="GT66" s="265"/>
      <c r="GU66" s="265"/>
      <c r="GV66" s="265"/>
      <c r="GW66" s="265"/>
      <c r="GX66" s="265"/>
      <c r="GY66" s="265"/>
      <c r="GZ66" s="265"/>
      <c r="HA66" s="265"/>
      <c r="HB66" s="265"/>
      <c r="HC66" s="265"/>
      <c r="HD66" s="265"/>
      <c r="HE66" s="265"/>
      <c r="HF66" s="265"/>
      <c r="HG66" s="265"/>
      <c r="HH66" s="265"/>
      <c r="HI66" s="265"/>
      <c r="HJ66" s="265"/>
      <c r="HK66" s="265"/>
      <c r="HL66" s="265"/>
      <c r="HM66" s="265"/>
      <c r="HN66" s="265"/>
      <c r="HO66" s="265"/>
      <c r="HP66" s="265"/>
      <c r="HQ66" s="265"/>
      <c r="HR66" s="265"/>
      <c r="HS66" s="265"/>
      <c r="HT66" s="265"/>
      <c r="HU66" s="265"/>
      <c r="HV66" s="265"/>
      <c r="HW66" s="265"/>
      <c r="HX66" s="265"/>
      <c r="HY66" s="265"/>
      <c r="HZ66" s="265"/>
      <c r="IA66" s="265"/>
      <c r="IB66" s="265"/>
      <c r="IC66" s="265"/>
      <c r="ID66" s="265"/>
      <c r="IE66" s="265"/>
      <c r="IF66" s="265"/>
      <c r="IG66" s="265"/>
      <c r="IH66" s="265"/>
      <c r="II66" s="265"/>
      <c r="IJ66" s="265"/>
      <c r="IK66" s="265"/>
      <c r="IL66" s="265"/>
      <c r="IM66" s="265"/>
      <c r="IN66" s="265"/>
      <c r="IO66" s="265"/>
      <c r="IP66" s="265"/>
      <c r="IQ66" s="265"/>
    </row>
    <row r="67" spans="1:251" s="2" customFormat="1" ht="15">
      <c r="B67" s="4" t="s">
        <v>178</v>
      </c>
      <c r="C67" s="49"/>
      <c r="D67" s="329">
        <f>IF(P67=0,"n/a",P67)</f>
        <v>1</v>
      </c>
      <c r="E67" s="329"/>
      <c r="F67" s="330">
        <f>IF(P67="n/a","n/a",IF(P67=0,"n/a",Q67))</f>
        <v>4561.6825396825398</v>
      </c>
      <c r="G67" s="331"/>
      <c r="I67" s="10"/>
      <c r="J67" s="53" t="s">
        <v>178</v>
      </c>
      <c r="K67" s="53">
        <f>VLOOKUP(J67,O20:R32,4,FALSE)</f>
        <v>35</v>
      </c>
      <c r="L67" s="64">
        <f>IF(K67=1,"n/a",VLOOKUP(J67,O20:R32,3,FALSE))</f>
        <v>1</v>
      </c>
      <c r="M67" s="64">
        <f>$D$55*1000/K67</f>
        <v>4561.6825396825398</v>
      </c>
      <c r="N67" s="64">
        <v>8000</v>
      </c>
      <c r="O67" s="64">
        <f>ROUNDUP(M67/N67,0)</f>
        <v>1</v>
      </c>
      <c r="P67" s="64">
        <f>IF(O67&gt;1,"n/a",O67)</f>
        <v>1</v>
      </c>
      <c r="Q67" s="64">
        <f>IF(O67=0,"0",$D$55*1000/(O67*K67))</f>
        <v>4561.6825396825398</v>
      </c>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row>
    <row r="68" spans="1:251" s="2" customFormat="1" ht="15">
      <c r="B68" s="4" t="s">
        <v>181</v>
      </c>
      <c r="C68" s="49"/>
      <c r="D68" s="329">
        <f t="shared" ref="D68:D69" si="9">IF(P68=0,"n/a",P68)</f>
        <v>1</v>
      </c>
      <c r="E68" s="329"/>
      <c r="F68" s="330">
        <f>IF(P68="n/a","n/a",IF(P68=0,"n/a",Q68))</f>
        <v>1680.6198830409357</v>
      </c>
      <c r="G68" s="331"/>
      <c r="H68" s="5"/>
      <c r="I68" s="5"/>
      <c r="J68" s="53" t="s">
        <v>181</v>
      </c>
      <c r="K68" s="53">
        <f>VLOOKUP(J68,O20:R32,4,FALSE)</f>
        <v>95</v>
      </c>
      <c r="L68" s="64">
        <f>IF(K68=1,"n/a",VLOOKUP(J68,O21:R33,3,FALSE))</f>
        <v>1</v>
      </c>
      <c r="M68" s="64">
        <f>$D$55*1000/K68</f>
        <v>1680.6198830409357</v>
      </c>
      <c r="N68" s="64">
        <v>8000</v>
      </c>
      <c r="O68" s="64">
        <f t="shared" ref="O68" si="10">ROUNDUP(M68/N68,0)</f>
        <v>1</v>
      </c>
      <c r="P68" s="64">
        <f>IF(O68&gt;5,"n/a",O68)</f>
        <v>1</v>
      </c>
      <c r="Q68" s="64">
        <f>IF(O68=0,"0",$D$55*1000/(O68*K68))</f>
        <v>1680.6198830409357</v>
      </c>
    </row>
    <row r="69" spans="1:251" s="2" customFormat="1" ht="15">
      <c r="B69" s="4" t="s">
        <v>182</v>
      </c>
      <c r="C69" s="49"/>
      <c r="D69" s="329">
        <f t="shared" si="9"/>
        <v>1</v>
      </c>
      <c r="E69" s="329"/>
      <c r="F69" s="330">
        <f t="shared" ref="F69" si="11">IF(P69="n/a","n/a",IF(P69=0,"n/a",Q69))</f>
        <v>342.61564139246548</v>
      </c>
      <c r="G69" s="331"/>
      <c r="H69" s="5"/>
      <c r="I69" s="5"/>
      <c r="J69" s="53" t="s">
        <v>182</v>
      </c>
      <c r="K69" s="53">
        <f>VLOOKUP(J69,O20:R32,4,FALSE)</f>
        <v>466</v>
      </c>
      <c r="L69" s="64">
        <f>IF(K69=1,"n/a",VLOOKUP(J69,O22:R34,3,FALSE))</f>
        <v>1</v>
      </c>
      <c r="M69" s="64">
        <f>IF(K69=0,"0",$D$55*1000*(1/K69))</f>
        <v>342.61564139246548</v>
      </c>
      <c r="N69" s="64">
        <v>8000</v>
      </c>
      <c r="O69" s="64">
        <f>ROUNDUP(M69/N69,0)</f>
        <v>1</v>
      </c>
      <c r="P69" s="64">
        <f>IF(O69&gt;5,"n/a",O69)</f>
        <v>1</v>
      </c>
      <c r="Q69" s="64">
        <f t="shared" ref="Q69" si="12">IF(O69=0,"0",$D$55*1000/(O69*K69))</f>
        <v>342.61564139246548</v>
      </c>
    </row>
    <row r="70" spans="1:251" s="2" customFormat="1" ht="15">
      <c r="B70" s="335" t="s">
        <v>158</v>
      </c>
      <c r="C70" s="335"/>
      <c r="D70" s="335"/>
      <c r="E70" s="335"/>
      <c r="F70" s="335"/>
      <c r="G70" s="335"/>
      <c r="H70" s="3"/>
      <c r="I70" s="3"/>
    </row>
    <row r="71" spans="1:251" s="2" customFormat="1" ht="9.75" customHeight="1">
      <c r="C71" s="5"/>
      <c r="D71" s="5"/>
      <c r="E71" s="5"/>
      <c r="F71" s="5"/>
      <c r="G71" s="5"/>
      <c r="H71" s="11"/>
      <c r="I71" s="5"/>
      <c r="J71" s="5"/>
      <c r="K71" s="5"/>
    </row>
    <row r="72" spans="1:251" s="2" customFormat="1" ht="61.5" customHeight="1">
      <c r="B72" s="336" t="s">
        <v>99</v>
      </c>
      <c r="C72" s="337"/>
      <c r="D72" s="337"/>
      <c r="E72" s="337"/>
      <c r="F72" s="337"/>
      <c r="G72" s="337"/>
      <c r="H72" s="16"/>
      <c r="K72" s="5"/>
    </row>
    <row r="73" spans="1:251" s="2" customFormat="1" ht="61.5" customHeight="1">
      <c r="B73" s="75" t="str">
        <f>D13</f>
        <v>Норильск</v>
      </c>
      <c r="C73" s="75"/>
      <c r="D73" s="75"/>
      <c r="E73" s="76">
        <f>VLOOKUP(D13,B75:P166,4,FALSE)</f>
        <v>0</v>
      </c>
      <c r="F73" s="76">
        <f>VLOOKUP(D13,B75:P166,5,FALSE)</f>
        <v>0.34</v>
      </c>
      <c r="G73" s="76">
        <f>VLOOKUP(D13,B75:P166,6,FALSE)</f>
        <v>1.43</v>
      </c>
      <c r="H73" s="76">
        <f>VLOOKUP(D13,B75:P166,7,FALSE)</f>
        <v>3.45</v>
      </c>
      <c r="I73" s="76">
        <f>VLOOKUP(D13,B75:P166,8,FALSE)</f>
        <v>4.9800000000000004</v>
      </c>
      <c r="J73" s="76">
        <f>VLOOKUP(D13,B75:P166,9,FALSE)</f>
        <v>5.2</v>
      </c>
      <c r="K73" s="76">
        <f>VLOOKUP(D13,B75:P166,10,FALSE)</f>
        <v>4.96</v>
      </c>
      <c r="L73" s="76">
        <f>VLOOKUP(D13,B75:P166,11,FALSE)</f>
        <v>3.48</v>
      </c>
      <c r="M73" s="76">
        <f>VLOOKUP(D13,B75:P166,12,FALSE)</f>
        <v>1.83</v>
      </c>
      <c r="N73" s="76">
        <f>VLOOKUP(D13,B75:P166,13,FALSE)</f>
        <v>0.6</v>
      </c>
      <c r="O73" s="76">
        <f>VLOOKUP(D13,B75:P166,14,FALSE)</f>
        <v>0</v>
      </c>
      <c r="P73" s="76">
        <f>VLOOKUP($D$13,$B$75:$AZ$166,15,FALSE)</f>
        <v>0</v>
      </c>
      <c r="Q73" s="76">
        <f>VLOOKUP($D$13,$B$75:$AZ$166,16,FALSE)</f>
        <v>0</v>
      </c>
      <c r="R73" s="76">
        <f>VLOOKUP($D$13,$B$75:$AZ$166,17,FALSE)</f>
        <v>0.77703703703703719</v>
      </c>
      <c r="S73" s="76">
        <f>VLOOKUP($D$13,$B$75:$AZ$166,18,FALSE)</f>
        <v>2.0966666666666667</v>
      </c>
      <c r="T73" s="76">
        <f>VLOOKUP($D$13,$B$75:$AZ$166,19,FALSE)</f>
        <v>4.1166666666666663</v>
      </c>
      <c r="U73" s="76">
        <f>VLOOKUP($D$13,$B$75:$AZ$166,20,FALSE)</f>
        <v>5.0170370370370376</v>
      </c>
      <c r="V73" s="76">
        <f>VLOOKUP($D$13,$B$75:$AZ$166,21,FALSE)</f>
        <v>5</v>
      </c>
      <c r="W73" s="76">
        <f>VLOOKUP($D$13,$B$75:$AZ$166,22,FALSE)</f>
        <v>4.8266666666666671</v>
      </c>
      <c r="X73" s="76">
        <f>VLOOKUP($D$13,$B$75:$AZ$166,23,FALSE)</f>
        <v>3.7614814814814812</v>
      </c>
      <c r="Y73" s="76">
        <f>VLOOKUP($D$13,$B$75:$AZ$166,24,FALSE)</f>
        <v>2.4522222222222223</v>
      </c>
      <c r="Z73" s="76">
        <f>VLOOKUP($D$13,$B$75:$AZ$166,25,FALSE)</f>
        <v>1.125925925925926</v>
      </c>
      <c r="AA73" s="76">
        <f>VLOOKUP($D$13,$B$75:$AZ$166,26,FALSE)</f>
        <v>0</v>
      </c>
      <c r="AB73" s="76">
        <f>VLOOKUP($D$13,$B$75:$AZ$166,27,FALSE)</f>
        <v>0</v>
      </c>
      <c r="AC73" s="76">
        <f>VLOOKUP($D$13,$B$75:$AZ$166,28,FALSE)</f>
        <v>0</v>
      </c>
      <c r="AD73" s="76">
        <f>VLOOKUP($D$13,$B$75:$AZ$166,29,FALSE)</f>
        <v>0.9906666666666667</v>
      </c>
      <c r="AE73" s="76">
        <f>VLOOKUP($D$13,$B$75:$AZ$166,30,FALSE)</f>
        <v>2.3319999999999999</v>
      </c>
      <c r="AF73" s="76">
        <f>VLOOKUP($D$13,$B$75:$AZ$166,31,FALSE)</f>
        <v>4.1146666666666665</v>
      </c>
      <c r="AG73" s="76">
        <f>VLOOKUP($D$13,$B$75:$AZ$166,32,FALSE)</f>
        <v>4.5866666666666669</v>
      </c>
      <c r="AH73" s="76">
        <f>VLOOKUP($D$13,$B$75:$AZ$166,33,FALSE)</f>
        <v>4.4573333333333336</v>
      </c>
      <c r="AI73" s="76">
        <f>VLOOKUP($D$13,$B$75:$AZ$166,34,FALSE)</f>
        <v>4.3600000000000003</v>
      </c>
      <c r="AJ73" s="76">
        <f>VLOOKUP($D$13,$B$75:$AZ$166,35,FALSE)</f>
        <v>3.5760000000000001</v>
      </c>
      <c r="AK73" s="76">
        <f>VLOOKUP($D$13,$B$75:$AZ$166,36,FALSE)</f>
        <v>2.6080000000000001</v>
      </c>
      <c r="AL73" s="76">
        <f>VLOOKUP($D$13,$B$75:$AZ$166,37,FALSE)</f>
        <v>1.3586666666666667</v>
      </c>
      <c r="AM73" s="76">
        <f>VLOOKUP($D$13,$B$75:$AZ$166,38,FALSE)</f>
        <v>0</v>
      </c>
      <c r="AN73" s="76">
        <f>VLOOKUP($D$13,$B$75:$AZ$166,39,FALSE)</f>
        <v>0</v>
      </c>
      <c r="AO73" s="76">
        <f>VLOOKUP($D$13,$B$75:$AZ$166,40,FALSE)</f>
        <v>0</v>
      </c>
      <c r="AP73" s="76">
        <f>VLOOKUP($D$13,$B$75:$AZ$166,41,FALSE)</f>
        <v>0.98</v>
      </c>
      <c r="AQ73" s="76">
        <f>VLOOKUP($D$13,$B$75:$AZ$166,42,FALSE)</f>
        <v>2.15</v>
      </c>
      <c r="AR73" s="76">
        <f>VLOOKUP($D$13,$B$75:$AZ$166,43,FALSE)</f>
        <v>3.57</v>
      </c>
      <c r="AS73" s="76">
        <f>VLOOKUP($D$13,$B$75:$AZ$166,44,FALSE)</f>
        <v>3.82</v>
      </c>
      <c r="AT73" s="76">
        <f>VLOOKUP($D$13,$B$75:$AZ$166,45,FALSE)</f>
        <v>3.57</v>
      </c>
      <c r="AU73" s="76">
        <f>VLOOKUP($D$13,$B$75:$AZ$166,46,FALSE)</f>
        <v>3.52</v>
      </c>
      <c r="AV73" s="76">
        <f>VLOOKUP($D$13,$B$75:$AZ$166,47,FALSE)</f>
        <v>3.06</v>
      </c>
      <c r="AW73" s="76">
        <f>VLOOKUP($D$13,$B$75:$AZ$166,48,FALSE)</f>
        <v>2.34</v>
      </c>
      <c r="AX73" s="76">
        <f>VLOOKUP($D$13,$B$75:$AZ$166,49,FALSE)</f>
        <v>1.31</v>
      </c>
      <c r="AY73" s="76">
        <f>VLOOKUP($D$13,$B$75:$AZ$166,50,FALSE)</f>
        <v>0</v>
      </c>
      <c r="AZ73" s="76">
        <f>VLOOKUP($D$13,$B$75:$AZ$166,51,FALSE)</f>
        <v>0</v>
      </c>
    </row>
    <row r="74" spans="1:251" s="2" customFormat="1" ht="60.75">
      <c r="B74" s="91" t="s">
        <v>12</v>
      </c>
      <c r="C74" s="89" t="s">
        <v>255</v>
      </c>
      <c r="D74" s="90" t="s">
        <v>254</v>
      </c>
      <c r="E74" s="77" t="s">
        <v>0</v>
      </c>
      <c r="F74" s="77" t="s">
        <v>1</v>
      </c>
      <c r="G74" s="77" t="s">
        <v>2</v>
      </c>
      <c r="H74" s="77" t="s">
        <v>3</v>
      </c>
      <c r="I74" s="77" t="s">
        <v>4</v>
      </c>
      <c r="J74" s="77" t="s">
        <v>5</v>
      </c>
      <c r="K74" s="77" t="s">
        <v>6</v>
      </c>
      <c r="L74" s="77" t="s">
        <v>7</v>
      </c>
      <c r="M74" s="77" t="s">
        <v>8</v>
      </c>
      <c r="N74" s="77" t="s">
        <v>9</v>
      </c>
      <c r="O74" s="77" t="s">
        <v>10</v>
      </c>
      <c r="P74" s="77" t="s">
        <v>11</v>
      </c>
      <c r="Q74" s="82" t="s">
        <v>0</v>
      </c>
      <c r="R74" s="82" t="s">
        <v>1</v>
      </c>
      <c r="S74" s="82" t="s">
        <v>2</v>
      </c>
      <c r="T74" s="82" t="s">
        <v>3</v>
      </c>
      <c r="U74" s="82" t="s">
        <v>4</v>
      </c>
      <c r="V74" s="82" t="s">
        <v>5</v>
      </c>
      <c r="W74" s="82" t="s">
        <v>6</v>
      </c>
      <c r="X74" s="82" t="s">
        <v>7</v>
      </c>
      <c r="Y74" s="82" t="s">
        <v>8</v>
      </c>
      <c r="Z74" s="82" t="s">
        <v>9</v>
      </c>
      <c r="AA74" s="82" t="s">
        <v>10</v>
      </c>
      <c r="AB74" s="82" t="s">
        <v>11</v>
      </c>
      <c r="AC74" s="79" t="s">
        <v>0</v>
      </c>
      <c r="AD74" s="79" t="s">
        <v>1</v>
      </c>
      <c r="AE74" s="79" t="s">
        <v>2</v>
      </c>
      <c r="AF74" s="79" t="s">
        <v>3</v>
      </c>
      <c r="AG74" s="79" t="s">
        <v>4</v>
      </c>
      <c r="AH74" s="79" t="s">
        <v>5</v>
      </c>
      <c r="AI74" s="79" t="s">
        <v>6</v>
      </c>
      <c r="AJ74" s="79" t="s">
        <v>7</v>
      </c>
      <c r="AK74" s="79" t="s">
        <v>8</v>
      </c>
      <c r="AL74" s="79" t="s">
        <v>9</v>
      </c>
      <c r="AM74" s="79" t="s">
        <v>10</v>
      </c>
      <c r="AN74" s="79" t="s">
        <v>11</v>
      </c>
      <c r="AO74" s="86" t="s">
        <v>0</v>
      </c>
      <c r="AP74" s="86" t="s">
        <v>1</v>
      </c>
      <c r="AQ74" s="86" t="s">
        <v>2</v>
      </c>
      <c r="AR74" s="86" t="s">
        <v>3</v>
      </c>
      <c r="AS74" s="86" t="s">
        <v>4</v>
      </c>
      <c r="AT74" s="86" t="s">
        <v>5</v>
      </c>
      <c r="AU74" s="86" t="s">
        <v>6</v>
      </c>
      <c r="AV74" s="86" t="s">
        <v>7</v>
      </c>
      <c r="AW74" s="86" t="s">
        <v>8</v>
      </c>
      <c r="AX74" s="86" t="s">
        <v>9</v>
      </c>
      <c r="AY74" s="86" t="s">
        <v>10</v>
      </c>
      <c r="AZ74" s="86" t="s">
        <v>11</v>
      </c>
    </row>
    <row r="75" spans="1:251" s="2" customFormat="1" ht="15">
      <c r="B75" s="46" t="s">
        <v>207</v>
      </c>
      <c r="C75" s="46" t="s">
        <v>263</v>
      </c>
      <c r="D75" s="46" t="s">
        <v>264</v>
      </c>
      <c r="E75" s="96" t="s">
        <v>265</v>
      </c>
      <c r="F75" s="96" t="s">
        <v>266</v>
      </c>
      <c r="G75" s="96" t="s">
        <v>267</v>
      </c>
      <c r="H75" s="96" t="s">
        <v>268</v>
      </c>
      <c r="I75" s="96" t="s">
        <v>269</v>
      </c>
      <c r="J75" s="96" t="s">
        <v>270</v>
      </c>
      <c r="K75" s="96" t="s">
        <v>271</v>
      </c>
      <c r="L75" s="96" t="s">
        <v>272</v>
      </c>
      <c r="M75" s="96" t="s">
        <v>273</v>
      </c>
      <c r="N75" s="96" t="s">
        <v>274</v>
      </c>
      <c r="O75" s="96" t="s">
        <v>275</v>
      </c>
      <c r="P75" s="96" t="s">
        <v>276</v>
      </c>
      <c r="Q75" s="97" t="s">
        <v>277</v>
      </c>
      <c r="R75" s="98" t="s">
        <v>278</v>
      </c>
      <c r="S75" s="98" t="s">
        <v>279</v>
      </c>
      <c r="T75" s="98" t="s">
        <v>280</v>
      </c>
      <c r="U75" s="98" t="s">
        <v>281</v>
      </c>
      <c r="V75" s="98" t="s">
        <v>282</v>
      </c>
      <c r="W75" s="98" t="s">
        <v>269</v>
      </c>
      <c r="X75" s="98" t="s">
        <v>283</v>
      </c>
      <c r="Y75" s="98" t="s">
        <v>280</v>
      </c>
      <c r="Z75" s="98" t="s">
        <v>284</v>
      </c>
      <c r="AA75" s="98" t="s">
        <v>285</v>
      </c>
      <c r="AB75" s="98" t="s">
        <v>286</v>
      </c>
      <c r="AC75" s="99" t="s">
        <v>277</v>
      </c>
      <c r="AD75" s="99" t="s">
        <v>287</v>
      </c>
      <c r="AE75" s="99" t="s">
        <v>288</v>
      </c>
      <c r="AF75" s="99" t="s">
        <v>289</v>
      </c>
      <c r="AG75" s="99" t="s">
        <v>290</v>
      </c>
      <c r="AH75" s="99" t="s">
        <v>291</v>
      </c>
      <c r="AI75" s="99" t="s">
        <v>292</v>
      </c>
      <c r="AJ75" s="99" t="s">
        <v>293</v>
      </c>
      <c r="AK75" s="99" t="s">
        <v>294</v>
      </c>
      <c r="AL75" s="99" t="s">
        <v>295</v>
      </c>
      <c r="AM75" s="99" t="s">
        <v>296</v>
      </c>
      <c r="AN75" s="99" t="s">
        <v>297</v>
      </c>
      <c r="AO75" s="100" t="s">
        <v>285</v>
      </c>
      <c r="AP75" s="100" t="s">
        <v>298</v>
      </c>
      <c r="AQ75" s="100" t="s">
        <v>299</v>
      </c>
      <c r="AR75" s="100" t="s">
        <v>295</v>
      </c>
      <c r="AS75" s="100" t="s">
        <v>300</v>
      </c>
      <c r="AT75" s="100" t="s">
        <v>301</v>
      </c>
      <c r="AU75" s="100" t="s">
        <v>302</v>
      </c>
      <c r="AV75" s="100" t="s">
        <v>303</v>
      </c>
      <c r="AW75" s="100" t="s">
        <v>292</v>
      </c>
      <c r="AX75" s="100" t="s">
        <v>287</v>
      </c>
      <c r="AY75" s="100" t="s">
        <v>304</v>
      </c>
      <c r="AZ75" s="100" t="s">
        <v>305</v>
      </c>
    </row>
    <row r="76" spans="1:251" s="6" customFormat="1" ht="15">
      <c r="A76" s="2"/>
      <c r="B76" s="46" t="s">
        <v>208</v>
      </c>
      <c r="C76" s="46" t="s">
        <v>306</v>
      </c>
      <c r="D76" s="46" t="s">
        <v>307</v>
      </c>
      <c r="E76" s="96" t="s">
        <v>308</v>
      </c>
      <c r="F76" s="96" t="s">
        <v>309</v>
      </c>
      <c r="G76" s="96" t="s">
        <v>303</v>
      </c>
      <c r="H76" s="96" t="s">
        <v>310</v>
      </c>
      <c r="I76" s="96" t="s">
        <v>311</v>
      </c>
      <c r="J76" s="96" t="s">
        <v>312</v>
      </c>
      <c r="K76" s="96" t="s">
        <v>313</v>
      </c>
      <c r="L76" s="96" t="s">
        <v>314</v>
      </c>
      <c r="M76" s="96" t="s">
        <v>315</v>
      </c>
      <c r="N76" s="96" t="s">
        <v>316</v>
      </c>
      <c r="O76" s="96" t="s">
        <v>317</v>
      </c>
      <c r="P76" s="96" t="s">
        <v>318</v>
      </c>
      <c r="Q76" s="97" t="s">
        <v>319</v>
      </c>
      <c r="R76" s="97" t="s">
        <v>320</v>
      </c>
      <c r="S76" s="97" t="s">
        <v>321</v>
      </c>
      <c r="T76" s="97" t="s">
        <v>322</v>
      </c>
      <c r="U76" s="97" t="s">
        <v>272</v>
      </c>
      <c r="V76" s="97" t="s">
        <v>323</v>
      </c>
      <c r="W76" s="97" t="s">
        <v>324</v>
      </c>
      <c r="X76" s="97" t="s">
        <v>325</v>
      </c>
      <c r="Y76" s="97" t="s">
        <v>326</v>
      </c>
      <c r="Z76" s="97" t="s">
        <v>327</v>
      </c>
      <c r="AA76" s="97" t="s">
        <v>328</v>
      </c>
      <c r="AB76" s="97" t="s">
        <v>329</v>
      </c>
      <c r="AC76" s="99" t="s">
        <v>330</v>
      </c>
      <c r="AD76" s="101" t="s">
        <v>331</v>
      </c>
      <c r="AE76" s="99" t="s">
        <v>332</v>
      </c>
      <c r="AF76" s="99" t="s">
        <v>333</v>
      </c>
      <c r="AG76" s="99" t="s">
        <v>284</v>
      </c>
      <c r="AH76" s="99" t="s">
        <v>303</v>
      </c>
      <c r="AI76" s="99" t="s">
        <v>334</v>
      </c>
      <c r="AJ76" s="99" t="s">
        <v>335</v>
      </c>
      <c r="AK76" s="99" t="s">
        <v>336</v>
      </c>
      <c r="AL76" s="99" t="s">
        <v>337</v>
      </c>
      <c r="AM76" s="99" t="s">
        <v>319</v>
      </c>
      <c r="AN76" s="99" t="s">
        <v>338</v>
      </c>
      <c r="AO76" s="100" t="s">
        <v>339</v>
      </c>
      <c r="AP76" s="100" t="s">
        <v>340</v>
      </c>
      <c r="AQ76" s="100" t="s">
        <v>278</v>
      </c>
      <c r="AR76" s="100" t="s">
        <v>341</v>
      </c>
      <c r="AS76" s="100" t="s">
        <v>342</v>
      </c>
      <c r="AT76" s="100" t="s">
        <v>343</v>
      </c>
      <c r="AU76" s="100" t="s">
        <v>341</v>
      </c>
      <c r="AV76" s="100" t="s">
        <v>344</v>
      </c>
      <c r="AW76" s="100" t="s">
        <v>345</v>
      </c>
      <c r="AX76" s="100" t="s">
        <v>346</v>
      </c>
      <c r="AY76" s="100" t="s">
        <v>347</v>
      </c>
      <c r="AZ76" s="100" t="s">
        <v>348</v>
      </c>
    </row>
    <row r="77" spans="1:251" s="6" customFormat="1" ht="15">
      <c r="A77" s="2"/>
      <c r="B77" s="46" t="s">
        <v>209</v>
      </c>
      <c r="C77" s="46" t="s">
        <v>349</v>
      </c>
      <c r="D77" s="46" t="s">
        <v>350</v>
      </c>
      <c r="E77" s="96" t="s">
        <v>351</v>
      </c>
      <c r="F77" s="96" t="s">
        <v>352</v>
      </c>
      <c r="G77" s="96" t="s">
        <v>353</v>
      </c>
      <c r="H77" s="96" t="s">
        <v>354</v>
      </c>
      <c r="I77" s="96" t="s">
        <v>282</v>
      </c>
      <c r="J77" s="96" t="s">
        <v>355</v>
      </c>
      <c r="K77" s="96" t="s">
        <v>356</v>
      </c>
      <c r="L77" s="96" t="s">
        <v>357</v>
      </c>
      <c r="M77" s="96" t="s">
        <v>358</v>
      </c>
      <c r="N77" s="96" t="s">
        <v>359</v>
      </c>
      <c r="O77" s="96" t="s">
        <v>360</v>
      </c>
      <c r="P77" s="96" t="s">
        <v>361</v>
      </c>
      <c r="Q77" s="102" t="s">
        <v>362</v>
      </c>
      <c r="R77" s="97" t="s">
        <v>363</v>
      </c>
      <c r="S77" s="97" t="s">
        <v>364</v>
      </c>
      <c r="T77" s="97" t="s">
        <v>365</v>
      </c>
      <c r="U77" s="97" t="s">
        <v>366</v>
      </c>
      <c r="V77" s="97" t="s">
        <v>367</v>
      </c>
      <c r="W77" s="97" t="s">
        <v>368</v>
      </c>
      <c r="X77" s="97" t="s">
        <v>369</v>
      </c>
      <c r="Y77" s="97" t="s">
        <v>370</v>
      </c>
      <c r="Z77" s="97" t="s">
        <v>290</v>
      </c>
      <c r="AA77" s="97" t="s">
        <v>371</v>
      </c>
      <c r="AB77" s="97" t="s">
        <v>360</v>
      </c>
      <c r="AC77" s="101">
        <v>1.8133333333333332</v>
      </c>
      <c r="AD77" s="101">
        <v>2.5500000000000003</v>
      </c>
      <c r="AE77" s="101">
        <v>2.8233333333333333</v>
      </c>
      <c r="AF77" s="101">
        <v>3.1766666666666667</v>
      </c>
      <c r="AG77" s="101">
        <v>3.4066666666666667</v>
      </c>
      <c r="AH77" s="101">
        <v>3.2833333333333337</v>
      </c>
      <c r="AI77" s="101">
        <v>3.5366666666666666</v>
      </c>
      <c r="AJ77" s="101">
        <v>3.6566666666666667</v>
      </c>
      <c r="AK77" s="101">
        <v>3.6433333333333331</v>
      </c>
      <c r="AL77" s="101">
        <v>3.1933333333333334</v>
      </c>
      <c r="AM77" s="101">
        <v>2.1633333333333336</v>
      </c>
      <c r="AN77" s="101">
        <v>1.48</v>
      </c>
      <c r="AO77" s="100" t="s">
        <v>372</v>
      </c>
      <c r="AP77" s="100" t="s">
        <v>373</v>
      </c>
      <c r="AQ77" s="100" t="s">
        <v>374</v>
      </c>
      <c r="AR77" s="100" t="s">
        <v>375</v>
      </c>
      <c r="AS77" s="100" t="s">
        <v>376</v>
      </c>
      <c r="AT77" s="100" t="s">
        <v>346</v>
      </c>
      <c r="AU77" s="100" t="s">
        <v>353</v>
      </c>
      <c r="AV77" s="100" t="s">
        <v>295</v>
      </c>
      <c r="AW77" s="100" t="s">
        <v>303</v>
      </c>
      <c r="AX77" s="100" t="s">
        <v>377</v>
      </c>
      <c r="AY77" s="100" t="s">
        <v>378</v>
      </c>
      <c r="AZ77" s="100" t="s">
        <v>379</v>
      </c>
    </row>
    <row r="78" spans="1:251" s="6" customFormat="1" ht="15">
      <c r="A78" s="2"/>
      <c r="B78" s="46" t="s">
        <v>210</v>
      </c>
      <c r="C78" s="46" t="s">
        <v>380</v>
      </c>
      <c r="D78" s="46" t="s">
        <v>381</v>
      </c>
      <c r="E78" s="96" t="s">
        <v>382</v>
      </c>
      <c r="F78" s="96" t="s">
        <v>383</v>
      </c>
      <c r="G78" s="96" t="s">
        <v>384</v>
      </c>
      <c r="H78" s="96" t="s">
        <v>385</v>
      </c>
      <c r="I78" s="96" t="s">
        <v>386</v>
      </c>
      <c r="J78" s="96" t="s">
        <v>387</v>
      </c>
      <c r="K78" s="96" t="s">
        <v>388</v>
      </c>
      <c r="L78" s="96" t="s">
        <v>389</v>
      </c>
      <c r="M78" s="96" t="s">
        <v>390</v>
      </c>
      <c r="N78" s="96" t="s">
        <v>296</v>
      </c>
      <c r="O78" s="96" t="s">
        <v>391</v>
      </c>
      <c r="P78" s="96" t="s">
        <v>392</v>
      </c>
      <c r="Q78" s="102">
        <v>1.67</v>
      </c>
      <c r="R78" s="102">
        <v>2.8226666666666667</v>
      </c>
      <c r="S78" s="102">
        <v>4.3460000000000001</v>
      </c>
      <c r="T78" s="102">
        <v>5.139333333333334</v>
      </c>
      <c r="U78" s="102">
        <v>5.89</v>
      </c>
      <c r="V78" s="102">
        <v>6.0026666666666673</v>
      </c>
      <c r="W78" s="102">
        <v>5.9313333333333338</v>
      </c>
      <c r="X78" s="102">
        <v>5.47</v>
      </c>
      <c r="Y78" s="102">
        <v>4.5746666666666664</v>
      </c>
      <c r="Z78" s="102">
        <v>3.0020000000000002</v>
      </c>
      <c r="AA78" s="102">
        <v>1.8800000000000001</v>
      </c>
      <c r="AB78" s="102">
        <v>1.46</v>
      </c>
      <c r="AC78" s="101">
        <v>1.7633333333333334</v>
      </c>
      <c r="AD78" s="101">
        <v>2.4983333333333335</v>
      </c>
      <c r="AE78" s="101">
        <v>2.855</v>
      </c>
      <c r="AF78" s="101">
        <v>3.0783333333333331</v>
      </c>
      <c r="AG78" s="101">
        <v>3.2</v>
      </c>
      <c r="AH78" s="101">
        <v>3.0900000000000003</v>
      </c>
      <c r="AI78" s="101">
        <v>3.2666666666666666</v>
      </c>
      <c r="AJ78" s="101">
        <v>3.4016666666666668</v>
      </c>
      <c r="AK78" s="101">
        <v>3.4516666666666662</v>
      </c>
      <c r="AL78" s="101">
        <v>3.01</v>
      </c>
      <c r="AM78" s="101">
        <v>2.0733333333333333</v>
      </c>
      <c r="AN78" s="101">
        <v>1.4633333333333334</v>
      </c>
      <c r="AO78" s="100" t="s">
        <v>393</v>
      </c>
      <c r="AP78" s="100" t="s">
        <v>394</v>
      </c>
      <c r="AQ78" s="100" t="s">
        <v>290</v>
      </c>
      <c r="AR78" s="100" t="s">
        <v>395</v>
      </c>
      <c r="AS78" s="100" t="s">
        <v>288</v>
      </c>
      <c r="AT78" s="100" t="s">
        <v>384</v>
      </c>
      <c r="AU78" s="100" t="s">
        <v>396</v>
      </c>
      <c r="AV78" s="100" t="s">
        <v>397</v>
      </c>
      <c r="AW78" s="100" t="s">
        <v>288</v>
      </c>
      <c r="AX78" s="100" t="s">
        <v>398</v>
      </c>
      <c r="AY78" s="100" t="s">
        <v>399</v>
      </c>
      <c r="AZ78" s="100" t="s">
        <v>400</v>
      </c>
    </row>
    <row r="79" spans="1:251" s="7" customFormat="1">
      <c r="A79" s="1"/>
      <c r="B79" s="46" t="s">
        <v>211</v>
      </c>
      <c r="C79" s="46" t="s">
        <v>401</v>
      </c>
      <c r="D79" s="46" t="s">
        <v>402</v>
      </c>
      <c r="E79" s="96" t="s">
        <v>403</v>
      </c>
      <c r="F79" s="96" t="s">
        <v>404</v>
      </c>
      <c r="G79" s="96" t="s">
        <v>405</v>
      </c>
      <c r="H79" s="96" t="s">
        <v>406</v>
      </c>
      <c r="I79" s="96" t="s">
        <v>407</v>
      </c>
      <c r="J79" s="96" t="s">
        <v>408</v>
      </c>
      <c r="K79" s="96" t="s">
        <v>409</v>
      </c>
      <c r="L79" s="96" t="s">
        <v>410</v>
      </c>
      <c r="M79" s="96" t="s">
        <v>411</v>
      </c>
      <c r="N79" s="96" t="s">
        <v>412</v>
      </c>
      <c r="O79" s="96">
        <v>0.78</v>
      </c>
      <c r="P79" s="96">
        <v>0.4</v>
      </c>
      <c r="Q79" s="102">
        <v>1.6109523809523809</v>
      </c>
      <c r="R79" s="102">
        <v>2.7433333333333332</v>
      </c>
      <c r="S79" s="102">
        <v>4.2642857142857142</v>
      </c>
      <c r="T79" s="102">
        <v>5.1414285714285715</v>
      </c>
      <c r="U79" s="102">
        <v>5.9861904761904761</v>
      </c>
      <c r="V79" s="102">
        <v>6.1461904761904762</v>
      </c>
      <c r="W79" s="102">
        <v>6.0733333333333333</v>
      </c>
      <c r="X79" s="102">
        <v>5.5366666666666662</v>
      </c>
      <c r="Y79" s="102">
        <v>4.5519047619047619</v>
      </c>
      <c r="Z79" s="102">
        <v>2.9528571428571428</v>
      </c>
      <c r="AA79" s="102">
        <v>1.8233333333333333</v>
      </c>
      <c r="AB79" s="102">
        <v>1.3990476190476189</v>
      </c>
      <c r="AC79" s="101">
        <v>1.8166666666666667</v>
      </c>
      <c r="AD79" s="101">
        <v>2.8516666666666666</v>
      </c>
      <c r="AE79" s="101">
        <v>3.9550000000000005</v>
      </c>
      <c r="AF79" s="101">
        <v>4.2716666666666665</v>
      </c>
      <c r="AG79" s="101">
        <v>4.5199999999999996</v>
      </c>
      <c r="AH79" s="101">
        <v>4.49</v>
      </c>
      <c r="AI79" s="101">
        <v>4.5333333333333332</v>
      </c>
      <c r="AJ79" s="101">
        <v>4.4483333333333333</v>
      </c>
      <c r="AK79" s="101">
        <v>4.1383333333333328</v>
      </c>
      <c r="AL79" s="101">
        <v>3.05</v>
      </c>
      <c r="AM79" s="101">
        <v>2.0466666666666669</v>
      </c>
      <c r="AN79" s="101">
        <v>1.5966666666666667</v>
      </c>
      <c r="AO79" s="100" t="s">
        <v>413</v>
      </c>
      <c r="AP79" s="100" t="s">
        <v>414</v>
      </c>
      <c r="AQ79" s="100" t="s">
        <v>415</v>
      </c>
      <c r="AR79" s="100" t="s">
        <v>416</v>
      </c>
      <c r="AS79" s="100" t="s">
        <v>333</v>
      </c>
      <c r="AT79" s="100" t="s">
        <v>417</v>
      </c>
      <c r="AU79" s="100" t="s">
        <v>267</v>
      </c>
      <c r="AV79" s="100" t="s">
        <v>418</v>
      </c>
      <c r="AW79" s="100" t="s">
        <v>419</v>
      </c>
      <c r="AX79" s="100" t="s">
        <v>420</v>
      </c>
      <c r="AY79" s="100" t="s">
        <v>286</v>
      </c>
      <c r="AZ79" s="100" t="s">
        <v>421</v>
      </c>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row>
    <row r="80" spans="1:251" s="7" customFormat="1">
      <c r="A80" s="1"/>
      <c r="B80" s="46" t="s">
        <v>212</v>
      </c>
      <c r="C80" s="46" t="s">
        <v>422</v>
      </c>
      <c r="D80" s="46" t="s">
        <v>423</v>
      </c>
      <c r="E80" s="96" t="s">
        <v>424</v>
      </c>
      <c r="F80" s="96" t="s">
        <v>425</v>
      </c>
      <c r="G80" s="96" t="s">
        <v>342</v>
      </c>
      <c r="H80" s="96" t="s">
        <v>426</v>
      </c>
      <c r="I80" s="96" t="s">
        <v>427</v>
      </c>
      <c r="J80" s="96" t="s">
        <v>428</v>
      </c>
      <c r="K80" s="96" t="s">
        <v>429</v>
      </c>
      <c r="L80" s="96" t="s">
        <v>268</v>
      </c>
      <c r="M80" s="96" t="s">
        <v>430</v>
      </c>
      <c r="N80" s="96" t="s">
        <v>431</v>
      </c>
      <c r="O80" s="96" t="s">
        <v>432</v>
      </c>
      <c r="P80" s="96" t="s">
        <v>433</v>
      </c>
      <c r="Q80" s="102">
        <v>1.4186666666666665</v>
      </c>
      <c r="R80" s="102">
        <v>2.4693333333333332</v>
      </c>
      <c r="S80" s="102">
        <v>4.1740000000000004</v>
      </c>
      <c r="T80" s="102">
        <v>5.1066666666666665</v>
      </c>
      <c r="U80" s="102">
        <v>5.77</v>
      </c>
      <c r="V80" s="102">
        <v>5.9719999999999995</v>
      </c>
      <c r="W80" s="102">
        <v>5.6459999999999999</v>
      </c>
      <c r="X80" s="102">
        <v>4.921333333333334</v>
      </c>
      <c r="Y80" s="102">
        <v>3.9279999999999999</v>
      </c>
      <c r="Z80" s="102">
        <v>2.7673333333333332</v>
      </c>
      <c r="AA80" s="102">
        <v>1.79</v>
      </c>
      <c r="AB80" s="102">
        <v>1.34</v>
      </c>
      <c r="AC80" s="101">
        <v>1.5866666666666667</v>
      </c>
      <c r="AD80" s="101">
        <v>2.5895238095238096</v>
      </c>
      <c r="AE80" s="101">
        <v>4.0433333333333339</v>
      </c>
      <c r="AF80" s="101">
        <v>4.4471428571428575</v>
      </c>
      <c r="AG80" s="101">
        <v>4.6738095238095241</v>
      </c>
      <c r="AH80" s="101">
        <v>4.68</v>
      </c>
      <c r="AI80" s="101">
        <v>4.484285714285714</v>
      </c>
      <c r="AJ80" s="101">
        <v>4.1261904761904757</v>
      </c>
      <c r="AK80" s="101">
        <v>3.6514285714285717</v>
      </c>
      <c r="AL80" s="101">
        <v>2.8261904761904759</v>
      </c>
      <c r="AM80" s="101">
        <v>1.9747619047619047</v>
      </c>
      <c r="AN80" s="101">
        <v>1.5476190476190477</v>
      </c>
      <c r="AO80" s="100" t="s">
        <v>434</v>
      </c>
      <c r="AP80" s="100" t="s">
        <v>435</v>
      </c>
      <c r="AQ80" s="100" t="s">
        <v>395</v>
      </c>
      <c r="AR80" s="100" t="s">
        <v>436</v>
      </c>
      <c r="AS80" s="100" t="s">
        <v>292</v>
      </c>
      <c r="AT80" s="100" t="s">
        <v>284</v>
      </c>
      <c r="AU80" s="100" t="s">
        <v>437</v>
      </c>
      <c r="AV80" s="100" t="s">
        <v>438</v>
      </c>
      <c r="AW80" s="100" t="s">
        <v>439</v>
      </c>
      <c r="AX80" s="100" t="s">
        <v>274</v>
      </c>
      <c r="AY80" s="100" t="s">
        <v>440</v>
      </c>
      <c r="AZ80" s="100" t="s">
        <v>441</v>
      </c>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row>
    <row r="81" spans="1:250" s="7" customFormat="1">
      <c r="A81" s="1"/>
      <c r="B81" s="46" t="s">
        <v>213</v>
      </c>
      <c r="C81" s="46" t="s">
        <v>442</v>
      </c>
      <c r="D81" s="46" t="s">
        <v>443</v>
      </c>
      <c r="E81" s="96">
        <v>0</v>
      </c>
      <c r="F81" s="96">
        <v>0.53</v>
      </c>
      <c r="G81" s="96">
        <v>1.6</v>
      </c>
      <c r="H81" s="96">
        <v>3.39</v>
      </c>
      <c r="I81" s="96">
        <v>5.09</v>
      </c>
      <c r="J81" s="96">
        <v>5.57</v>
      </c>
      <c r="K81" s="96">
        <v>5.42</v>
      </c>
      <c r="L81" s="96">
        <v>3.65</v>
      </c>
      <c r="M81" s="96">
        <v>2.0699999999999998</v>
      </c>
      <c r="N81" s="96">
        <v>0.86</v>
      </c>
      <c r="O81" s="96">
        <v>0.16</v>
      </c>
      <c r="P81" s="96">
        <v>0</v>
      </c>
      <c r="Q81" s="102">
        <v>0</v>
      </c>
      <c r="R81" s="102">
        <v>1.0554901960784313</v>
      </c>
      <c r="S81" s="102">
        <v>2.2431372549019608</v>
      </c>
      <c r="T81" s="102">
        <v>3.9233333333333338</v>
      </c>
      <c r="U81" s="102">
        <v>5.1056862745098037</v>
      </c>
      <c r="V81" s="102">
        <v>5.2641176470588231</v>
      </c>
      <c r="W81" s="102">
        <v>5.2709803921568632</v>
      </c>
      <c r="X81" s="102">
        <v>3.8931372549019607</v>
      </c>
      <c r="Y81" s="102">
        <v>2.7209803921568625</v>
      </c>
      <c r="Z81" s="102">
        <v>1.4952941176470587</v>
      </c>
      <c r="AA81" s="102">
        <v>0.53647058823529414</v>
      </c>
      <c r="AB81" s="102">
        <v>0</v>
      </c>
      <c r="AC81" s="101">
        <v>0</v>
      </c>
      <c r="AD81" s="101">
        <v>1.24</v>
      </c>
      <c r="AE81" s="101">
        <v>2.17</v>
      </c>
      <c r="AF81" s="101">
        <v>3.23</v>
      </c>
      <c r="AG81" s="101">
        <v>3.74</v>
      </c>
      <c r="AH81" s="101">
        <v>3.64</v>
      </c>
      <c r="AI81" s="101">
        <v>3.74</v>
      </c>
      <c r="AJ81" s="101">
        <v>3</v>
      </c>
      <c r="AK81" s="101">
        <v>2.4900000000000002</v>
      </c>
      <c r="AL81" s="101">
        <v>1.64</v>
      </c>
      <c r="AM81" s="101">
        <v>0.74</v>
      </c>
      <c r="AN81" s="101">
        <v>0</v>
      </c>
      <c r="AO81" s="100">
        <v>0</v>
      </c>
      <c r="AP81" s="100">
        <v>1.24</v>
      </c>
      <c r="AQ81" s="100">
        <v>2.17</v>
      </c>
      <c r="AR81" s="100">
        <v>3.23</v>
      </c>
      <c r="AS81" s="100">
        <v>3.74</v>
      </c>
      <c r="AT81" s="100">
        <v>3.64</v>
      </c>
      <c r="AU81" s="100">
        <v>3.74</v>
      </c>
      <c r="AV81" s="100">
        <v>3</v>
      </c>
      <c r="AW81" s="100">
        <v>2.4900000000000002</v>
      </c>
      <c r="AX81" s="100">
        <v>1.64</v>
      </c>
      <c r="AY81" s="100">
        <v>0.74</v>
      </c>
      <c r="AZ81" s="100">
        <v>0</v>
      </c>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row>
    <row r="82" spans="1:250" s="7" customFormat="1">
      <c r="A82" s="1"/>
      <c r="B82" s="46" t="s">
        <v>214</v>
      </c>
      <c r="C82" s="46" t="s">
        <v>444</v>
      </c>
      <c r="D82" s="46" t="s">
        <v>445</v>
      </c>
      <c r="E82" s="96">
        <v>0</v>
      </c>
      <c r="F82" s="96">
        <v>0.41</v>
      </c>
      <c r="G82" s="96">
        <v>1.66</v>
      </c>
      <c r="H82" s="96">
        <v>3.57</v>
      </c>
      <c r="I82" s="96">
        <v>4.8</v>
      </c>
      <c r="J82" s="96">
        <v>4.97</v>
      </c>
      <c r="K82" s="96">
        <v>4.51</v>
      </c>
      <c r="L82" s="96">
        <v>3.41</v>
      </c>
      <c r="M82" s="96">
        <v>1.85</v>
      </c>
      <c r="N82" s="96">
        <v>0.67</v>
      </c>
      <c r="O82" s="96">
        <v>0</v>
      </c>
      <c r="P82" s="96">
        <v>0</v>
      </c>
      <c r="Q82" s="102">
        <v>0</v>
      </c>
      <c r="R82" s="102">
        <v>0.9156603773584906</v>
      </c>
      <c r="S82" s="102">
        <v>2.5279245283018867</v>
      </c>
      <c r="T82" s="102">
        <v>4.2718867924528299</v>
      </c>
      <c r="U82" s="102">
        <v>4.8452830188679243</v>
      </c>
      <c r="V82" s="102">
        <v>4.7737735849056602</v>
      </c>
      <c r="W82" s="102">
        <v>4.3515094339622635</v>
      </c>
      <c r="X82" s="102">
        <v>3.6666037735849057</v>
      </c>
      <c r="Y82" s="102">
        <v>2.4613207547169811</v>
      </c>
      <c r="Z82" s="102">
        <v>1.2133962264150941</v>
      </c>
      <c r="AA82" s="102">
        <v>0</v>
      </c>
      <c r="AB82" s="102">
        <v>0</v>
      </c>
      <c r="AC82" s="101">
        <v>0</v>
      </c>
      <c r="AD82" s="101" t="e">
        <f>ABS(#REF!)</f>
        <v>#REF!</v>
      </c>
      <c r="AE82" s="101" t="e">
        <f>ABS(#REF!)</f>
        <v>#REF!</v>
      </c>
      <c r="AF82" s="101" t="e">
        <f>ABS(#REF!)</f>
        <v>#REF!</v>
      </c>
      <c r="AG82" s="101" t="e">
        <f>ABS(#REF!)</f>
        <v>#REF!</v>
      </c>
      <c r="AH82" s="101" t="e">
        <f>ABS(#REF!)</f>
        <v>#REF!</v>
      </c>
      <c r="AI82" s="101" t="e">
        <f>ABS(#REF!)</f>
        <v>#REF!</v>
      </c>
      <c r="AJ82" s="101" t="e">
        <f>ABS(#REF!)</f>
        <v>#REF!</v>
      </c>
      <c r="AK82" s="101" t="e">
        <f>ABS(#REF!)</f>
        <v>#REF!</v>
      </c>
      <c r="AL82" s="101" t="e">
        <f>ABS(#REF!)</f>
        <v>#REF!</v>
      </c>
      <c r="AM82" s="101">
        <v>0</v>
      </c>
      <c r="AN82" s="101">
        <v>0</v>
      </c>
      <c r="AO82" s="100">
        <v>0</v>
      </c>
      <c r="AP82" s="100">
        <v>1.1299999999999999</v>
      </c>
      <c r="AQ82" s="100">
        <v>2.6</v>
      </c>
      <c r="AR82" s="100">
        <v>3.68</v>
      </c>
      <c r="AS82" s="100">
        <v>3.65</v>
      </c>
      <c r="AT82" s="100">
        <v>3.37</v>
      </c>
      <c r="AU82" s="100">
        <v>3.15</v>
      </c>
      <c r="AV82" s="100">
        <v>2.94</v>
      </c>
      <c r="AW82" s="100">
        <v>2.31</v>
      </c>
      <c r="AX82" s="100">
        <v>1.38</v>
      </c>
      <c r="AY82" s="100">
        <v>0</v>
      </c>
      <c r="AZ82" s="100">
        <v>0</v>
      </c>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row>
    <row r="83" spans="1:250" s="7" customFormat="1">
      <c r="A83" s="1"/>
      <c r="B83" s="46" t="s">
        <v>215</v>
      </c>
      <c r="C83" s="46" t="s">
        <v>446</v>
      </c>
      <c r="D83" s="46" t="s">
        <v>447</v>
      </c>
      <c r="E83" s="96">
        <v>0.14000000000000001</v>
      </c>
      <c r="F83" s="96">
        <v>0.71</v>
      </c>
      <c r="G83" s="96">
        <v>1.97</v>
      </c>
      <c r="H83" s="96">
        <v>3.7</v>
      </c>
      <c r="I83" s="96">
        <v>4.78</v>
      </c>
      <c r="J83" s="96">
        <v>5.73</v>
      </c>
      <c r="K83" s="96">
        <v>5.33</v>
      </c>
      <c r="L83" s="96">
        <v>3.69</v>
      </c>
      <c r="M83" s="96">
        <v>2.19</v>
      </c>
      <c r="N83" s="96">
        <v>0.93</v>
      </c>
      <c r="O83" s="96">
        <v>0.27</v>
      </c>
      <c r="P83" s="96">
        <v>0</v>
      </c>
      <c r="Q83" s="102">
        <v>0.47469387755102049</v>
      </c>
      <c r="R83" s="102">
        <v>1.3467346938775511</v>
      </c>
      <c r="S83" s="102">
        <v>2.8108163265306123</v>
      </c>
      <c r="T83" s="102">
        <v>4.3285714285714283</v>
      </c>
      <c r="U83" s="102">
        <v>4.7636734693877552</v>
      </c>
      <c r="V83" s="102">
        <v>5.4279591836734697</v>
      </c>
      <c r="W83" s="102">
        <v>5.1504081632653067</v>
      </c>
      <c r="X83" s="102">
        <v>3.9267346938775511</v>
      </c>
      <c r="Y83" s="102">
        <v>2.8267346938775511</v>
      </c>
      <c r="Z83" s="102">
        <v>1.5259183673469388</v>
      </c>
      <c r="AA83" s="102">
        <v>0.74346938775510207</v>
      </c>
      <c r="AB83" s="102">
        <v>0</v>
      </c>
      <c r="AC83" s="101">
        <v>0.63800000000000001</v>
      </c>
      <c r="AD83" s="101">
        <v>1.58</v>
      </c>
      <c r="AE83" s="101">
        <v>2.9420000000000002</v>
      </c>
      <c r="AF83" s="101">
        <v>4.032</v>
      </c>
      <c r="AG83" s="101">
        <v>4.0540000000000003</v>
      </c>
      <c r="AH83" s="101">
        <v>4.4560000000000004</v>
      </c>
      <c r="AI83" s="101">
        <v>4.3020000000000005</v>
      </c>
      <c r="AJ83" s="101">
        <v>3.468</v>
      </c>
      <c r="AK83" s="101">
        <v>2.806</v>
      </c>
      <c r="AL83" s="101">
        <v>1.702</v>
      </c>
      <c r="AM83" s="101">
        <v>0.95799999999999996</v>
      </c>
      <c r="AN83" s="101">
        <v>0</v>
      </c>
      <c r="AO83" s="100">
        <v>0.64</v>
      </c>
      <c r="AP83" s="100">
        <v>1.52</v>
      </c>
      <c r="AQ83" s="100">
        <v>2.69</v>
      </c>
      <c r="AR83" s="100">
        <v>3.49</v>
      </c>
      <c r="AS83" s="100">
        <v>3.38</v>
      </c>
      <c r="AT83" s="100">
        <v>3.64</v>
      </c>
      <c r="AU83" s="100">
        <v>3.55</v>
      </c>
      <c r="AV83" s="100">
        <v>2.95</v>
      </c>
      <c r="AW83" s="100">
        <v>2.5099999999999998</v>
      </c>
      <c r="AX83" s="100">
        <v>1.61</v>
      </c>
      <c r="AY83" s="100">
        <v>0.96</v>
      </c>
      <c r="AZ83" s="100">
        <v>0</v>
      </c>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row>
    <row r="84" spans="1:250" s="7" customFormat="1">
      <c r="A84" s="1"/>
      <c r="B84" s="46" t="s">
        <v>216</v>
      </c>
      <c r="C84" s="46" t="s">
        <v>448</v>
      </c>
      <c r="D84" s="46" t="s">
        <v>449</v>
      </c>
      <c r="E84" s="96">
        <v>0.78</v>
      </c>
      <c r="F84" s="96">
        <v>1.64</v>
      </c>
      <c r="G84" s="96">
        <v>2.98</v>
      </c>
      <c r="H84" s="96">
        <v>4.38</v>
      </c>
      <c r="I84" s="96">
        <v>5.58</v>
      </c>
      <c r="J84" s="96">
        <v>6.04</v>
      </c>
      <c r="K84" s="96">
        <v>5.92</v>
      </c>
      <c r="L84" s="96">
        <v>4.67</v>
      </c>
      <c r="M84" s="96">
        <v>2.98</v>
      </c>
      <c r="N84" s="96">
        <v>1.71</v>
      </c>
      <c r="O84" s="96">
        <v>0.92</v>
      </c>
      <c r="P84" s="96">
        <v>0.49</v>
      </c>
      <c r="Q84" s="102">
        <v>1.53</v>
      </c>
      <c r="R84" s="102">
        <v>2.66</v>
      </c>
      <c r="S84" s="102">
        <v>4.0199999999999996</v>
      </c>
      <c r="T84" s="102">
        <v>5.01</v>
      </c>
      <c r="U84" s="102">
        <v>5.57</v>
      </c>
      <c r="V84" s="102">
        <v>5.69</v>
      </c>
      <c r="W84" s="102">
        <v>5.76</v>
      </c>
      <c r="X84" s="102">
        <v>5.0599999999999996</v>
      </c>
      <c r="Y84" s="102">
        <v>3.72</v>
      </c>
      <c r="Z84" s="102">
        <v>2.5499999999999998</v>
      </c>
      <c r="AA84" s="102">
        <v>1.69</v>
      </c>
      <c r="AB84" s="102">
        <v>1.01</v>
      </c>
      <c r="AC84" s="101">
        <v>1.74</v>
      </c>
      <c r="AD84" s="101">
        <v>2.82</v>
      </c>
      <c r="AE84" s="101">
        <v>3.9</v>
      </c>
      <c r="AF84" s="101">
        <v>4.37</v>
      </c>
      <c r="AG84" s="101">
        <v>4.5199999999999996</v>
      </c>
      <c r="AH84" s="101">
        <v>4.4800000000000004</v>
      </c>
      <c r="AI84" s="101">
        <v>4.57</v>
      </c>
      <c r="AJ84" s="101">
        <v>4.25</v>
      </c>
      <c r="AK84" s="101">
        <v>3.45</v>
      </c>
      <c r="AL84" s="101">
        <v>2.61</v>
      </c>
      <c r="AM84" s="101">
        <v>1.88</v>
      </c>
      <c r="AN84" s="101">
        <v>1.1599999999999999</v>
      </c>
      <c r="AO84" s="100">
        <v>1.67</v>
      </c>
      <c r="AP84" s="100">
        <v>2.59</v>
      </c>
      <c r="AQ84" s="100">
        <v>3.38</v>
      </c>
      <c r="AR84" s="100">
        <v>3.53</v>
      </c>
      <c r="AS84" s="100">
        <v>3.45</v>
      </c>
      <c r="AT84" s="100">
        <v>3.35</v>
      </c>
      <c r="AU84" s="100">
        <v>3.44</v>
      </c>
      <c r="AV84" s="100">
        <v>3.35</v>
      </c>
      <c r="AW84" s="100">
        <v>2.91</v>
      </c>
      <c r="AX84" s="100">
        <v>2.35</v>
      </c>
      <c r="AY84" s="100">
        <v>1.78</v>
      </c>
      <c r="AZ84" s="100">
        <v>1.1200000000000001</v>
      </c>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row>
    <row r="85" spans="1:250" s="7" customFormat="1">
      <c r="A85" s="1"/>
      <c r="B85" s="46" t="s">
        <v>217</v>
      </c>
      <c r="C85" s="46" t="s">
        <v>450</v>
      </c>
      <c r="D85" s="46" t="s">
        <v>451</v>
      </c>
      <c r="E85" s="96">
        <v>0.92</v>
      </c>
      <c r="F85" s="96">
        <v>1.79</v>
      </c>
      <c r="G85" s="96">
        <v>3.13</v>
      </c>
      <c r="H85" s="96">
        <v>4.53</v>
      </c>
      <c r="I85" s="96">
        <v>5.64</v>
      </c>
      <c r="J85" s="96">
        <v>6.09</v>
      </c>
      <c r="K85" s="96">
        <v>5.91</v>
      </c>
      <c r="L85" s="96">
        <v>4.8099999999999996</v>
      </c>
      <c r="M85" s="96">
        <v>3.22</v>
      </c>
      <c r="N85" s="96">
        <v>1.91</v>
      </c>
      <c r="O85" s="96">
        <v>1.07</v>
      </c>
      <c r="P85" s="96">
        <v>0.7</v>
      </c>
      <c r="Q85" s="102">
        <v>1.7013333333333334</v>
      </c>
      <c r="R85" s="102">
        <v>2.821333333333333</v>
      </c>
      <c r="S85" s="102">
        <v>4.1253333333333337</v>
      </c>
      <c r="T85" s="102">
        <v>5.1033333333333335</v>
      </c>
      <c r="U85" s="102">
        <v>5.5526666666666671</v>
      </c>
      <c r="V85" s="102">
        <v>5.7226666666666661</v>
      </c>
      <c r="W85" s="102">
        <v>5.6619999999999999</v>
      </c>
      <c r="X85" s="102">
        <v>5.1413333333333329</v>
      </c>
      <c r="Y85" s="102">
        <v>3.964666666666667</v>
      </c>
      <c r="Z85" s="102">
        <v>2.7946666666666666</v>
      </c>
      <c r="AA85" s="102">
        <v>1.87</v>
      </c>
      <c r="AB85" s="102">
        <v>1.3900000000000001</v>
      </c>
      <c r="AC85" s="101">
        <v>1.8909090909090909</v>
      </c>
      <c r="AD85" s="101">
        <v>2.9354545454545455</v>
      </c>
      <c r="AE85" s="101">
        <v>3.9463636363636363</v>
      </c>
      <c r="AF85" s="101">
        <v>4.4036363636363642</v>
      </c>
      <c r="AG85" s="101">
        <v>4.4709090909090907</v>
      </c>
      <c r="AH85" s="101">
        <v>4.4354545454545455</v>
      </c>
      <c r="AI85" s="101">
        <v>4.4572727272727271</v>
      </c>
      <c r="AJ85" s="101">
        <v>4.2772727272727273</v>
      </c>
      <c r="AK85" s="101">
        <v>3.6418181818181821</v>
      </c>
      <c r="AL85" s="101">
        <v>2.8218181818181818</v>
      </c>
      <c r="AM85" s="101">
        <v>2.0381818181818181</v>
      </c>
      <c r="AN85" s="101">
        <v>1.5845454545454547</v>
      </c>
      <c r="AO85" s="100">
        <v>1.8</v>
      </c>
      <c r="AP85" s="100">
        <v>2.69</v>
      </c>
      <c r="AQ85" s="100">
        <v>3.41</v>
      </c>
      <c r="AR85" s="100">
        <v>3.54</v>
      </c>
      <c r="AS85" s="100">
        <v>3.38</v>
      </c>
      <c r="AT85" s="100">
        <v>3.29</v>
      </c>
      <c r="AU85" s="100">
        <v>3.33</v>
      </c>
      <c r="AV85" s="100">
        <v>3.35</v>
      </c>
      <c r="AW85" s="100">
        <v>3.06</v>
      </c>
      <c r="AX85" s="100">
        <v>2.54</v>
      </c>
      <c r="AY85" s="100">
        <v>1.92</v>
      </c>
      <c r="AZ85" s="100">
        <v>1.53</v>
      </c>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row>
    <row r="86" spans="1:250" s="7" customFormat="1">
      <c r="A86" s="1"/>
      <c r="B86" s="46" t="s">
        <v>218</v>
      </c>
      <c r="C86" s="46" t="s">
        <v>452</v>
      </c>
      <c r="D86" s="46" t="s">
        <v>453</v>
      </c>
      <c r="E86" s="96">
        <v>1.1399999999999999</v>
      </c>
      <c r="F86" s="96">
        <v>2.1800000000000002</v>
      </c>
      <c r="G86" s="96">
        <v>3.69</v>
      </c>
      <c r="H86" s="96">
        <v>4.8099999999999996</v>
      </c>
      <c r="I86" s="96">
        <v>5.57</v>
      </c>
      <c r="J86" s="96">
        <v>5.51</v>
      </c>
      <c r="K86" s="96">
        <v>5.0199999999999996</v>
      </c>
      <c r="L86" s="96">
        <v>4.2300000000000004</v>
      </c>
      <c r="M86" s="96">
        <v>3.22</v>
      </c>
      <c r="N86" s="96">
        <v>2.1</v>
      </c>
      <c r="O86" s="96">
        <v>1.26</v>
      </c>
      <c r="P86" s="96">
        <v>0.88</v>
      </c>
      <c r="Q86" s="102">
        <v>2.11</v>
      </c>
      <c r="R86" s="102">
        <v>3.452</v>
      </c>
      <c r="S86" s="102">
        <v>4.9039999999999999</v>
      </c>
      <c r="T86" s="102">
        <v>5.4</v>
      </c>
      <c r="U86" s="102">
        <v>5.4560000000000004</v>
      </c>
      <c r="V86" s="102">
        <v>5.1360000000000001</v>
      </c>
      <c r="W86" s="102">
        <v>4.7639999999999993</v>
      </c>
      <c r="X86" s="102">
        <v>4.4000000000000004</v>
      </c>
      <c r="Y86" s="102">
        <v>3.9119999999999999</v>
      </c>
      <c r="Z86" s="102">
        <v>3.0640000000000001</v>
      </c>
      <c r="AA86" s="102">
        <v>2.1779999999999999</v>
      </c>
      <c r="AB86" s="102">
        <v>1.728</v>
      </c>
      <c r="AC86" s="101">
        <v>2.3330434782608696</v>
      </c>
      <c r="AD86" s="101">
        <v>3.5956521739130434</v>
      </c>
      <c r="AE86" s="101">
        <v>4.6847826086956523</v>
      </c>
      <c r="AF86" s="101">
        <v>4.640434782608696</v>
      </c>
      <c r="AG86" s="101">
        <v>4.3582608695652167</v>
      </c>
      <c r="AH86" s="101">
        <v>3.9873913043478257</v>
      </c>
      <c r="AI86" s="101">
        <v>3.7604347826086957</v>
      </c>
      <c r="AJ86" s="101">
        <v>3.6413043478260869</v>
      </c>
      <c r="AK86" s="101">
        <v>3.5726086956521739</v>
      </c>
      <c r="AL86" s="101">
        <v>3.0817391304347823</v>
      </c>
      <c r="AM86" s="101">
        <v>2.3591304347826085</v>
      </c>
      <c r="AN86" s="101">
        <v>1.9582608695652173</v>
      </c>
      <c r="AO86" s="100">
        <v>2.2200000000000002</v>
      </c>
      <c r="AP86" s="100">
        <v>3.3</v>
      </c>
      <c r="AQ86" s="100">
        <v>4.05</v>
      </c>
      <c r="AR86" s="100">
        <v>3.71</v>
      </c>
      <c r="AS86" s="100">
        <v>3.28</v>
      </c>
      <c r="AT86" s="100">
        <v>2.97</v>
      </c>
      <c r="AU86" s="100">
        <v>2.83</v>
      </c>
      <c r="AV86" s="100">
        <v>2.85</v>
      </c>
      <c r="AW86" s="100">
        <v>2.99</v>
      </c>
      <c r="AX86" s="100">
        <v>2.76</v>
      </c>
      <c r="AY86" s="100">
        <v>2.2200000000000002</v>
      </c>
      <c r="AZ86" s="100">
        <v>1.88</v>
      </c>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row>
    <row r="87" spans="1:250" s="7" customFormat="1">
      <c r="A87" s="1"/>
      <c r="B87" s="46" t="s">
        <v>219</v>
      </c>
      <c r="C87" s="46" t="s">
        <v>454</v>
      </c>
      <c r="D87" s="46" t="s">
        <v>455</v>
      </c>
      <c r="E87" s="96">
        <v>1.27</v>
      </c>
      <c r="F87" s="96">
        <v>2.37</v>
      </c>
      <c r="G87" s="96">
        <v>3.88</v>
      </c>
      <c r="H87" s="96">
        <v>5.05</v>
      </c>
      <c r="I87" s="96">
        <v>5.9</v>
      </c>
      <c r="J87" s="96">
        <v>5.98</v>
      </c>
      <c r="K87" s="96">
        <v>5.3</v>
      </c>
      <c r="L87" s="96">
        <v>4.4800000000000004</v>
      </c>
      <c r="M87" s="96">
        <v>3.5</v>
      </c>
      <c r="N87" s="96">
        <v>2.38</v>
      </c>
      <c r="O87" s="96">
        <v>1.39</v>
      </c>
      <c r="P87" s="96">
        <v>0.98</v>
      </c>
      <c r="Q87" s="102">
        <v>2.3879999999999999</v>
      </c>
      <c r="R87" s="102">
        <v>3.8099999999999996</v>
      </c>
      <c r="S87" s="102">
        <v>5.1660000000000004</v>
      </c>
      <c r="T87" s="102">
        <v>5.6880000000000006</v>
      </c>
      <c r="U87" s="102">
        <v>5.798</v>
      </c>
      <c r="V87" s="102">
        <v>5.5780000000000003</v>
      </c>
      <c r="W87" s="102">
        <v>5.0359999999999996</v>
      </c>
      <c r="X87" s="102">
        <v>4.6859999999999999</v>
      </c>
      <c r="Y87" s="102">
        <v>4.2939999999999996</v>
      </c>
      <c r="Z87" s="102">
        <v>3.51</v>
      </c>
      <c r="AA87" s="102">
        <v>2.452</v>
      </c>
      <c r="AB87" s="102">
        <v>1.964</v>
      </c>
      <c r="AC87" s="101">
        <v>2.6617391304347828</v>
      </c>
      <c r="AD87" s="101">
        <v>3.9917391304347825</v>
      </c>
      <c r="AE87" s="101">
        <v>4.9395652173913041</v>
      </c>
      <c r="AF87" s="101">
        <v>4.8926086956521742</v>
      </c>
      <c r="AG87" s="101">
        <v>4.6165217391304347</v>
      </c>
      <c r="AH87" s="101">
        <v>4.3004347826086953</v>
      </c>
      <c r="AI87" s="101">
        <v>3.9613043478260872</v>
      </c>
      <c r="AJ87" s="101">
        <v>3.8734782608695655</v>
      </c>
      <c r="AK87" s="101">
        <v>3.9334782608695655</v>
      </c>
      <c r="AL87" s="101">
        <v>3.5452173913043481</v>
      </c>
      <c r="AM87" s="101">
        <v>2.6665217391304346</v>
      </c>
      <c r="AN87" s="101">
        <v>2.2282608695652177</v>
      </c>
      <c r="AO87" s="100">
        <v>2.54</v>
      </c>
      <c r="AP87" s="100">
        <v>3.67</v>
      </c>
      <c r="AQ87" s="100">
        <v>4.2699999999999996</v>
      </c>
      <c r="AR87" s="100">
        <v>3.91</v>
      </c>
      <c r="AS87" s="100">
        <v>3.46</v>
      </c>
      <c r="AT87" s="100">
        <v>3.17</v>
      </c>
      <c r="AU87" s="100">
        <v>2.97</v>
      </c>
      <c r="AV87" s="100">
        <v>3.03</v>
      </c>
      <c r="AW87" s="100">
        <v>3.29</v>
      </c>
      <c r="AX87" s="100">
        <v>3.18</v>
      </c>
      <c r="AY87" s="100">
        <v>2.5099999999999998</v>
      </c>
      <c r="AZ87" s="100">
        <v>2.15</v>
      </c>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row>
    <row r="88" spans="1:250" s="7" customFormat="1">
      <c r="A88" s="1"/>
      <c r="B88" s="46" t="s">
        <v>220</v>
      </c>
      <c r="C88" s="46" t="s">
        <v>456</v>
      </c>
      <c r="D88" s="46" t="s">
        <v>457</v>
      </c>
      <c r="E88" s="96">
        <v>1.62</v>
      </c>
      <c r="F88" s="96">
        <v>2.75</v>
      </c>
      <c r="G88" s="96">
        <v>4.0999999999999996</v>
      </c>
      <c r="H88" s="96">
        <v>4.75</v>
      </c>
      <c r="I88" s="96">
        <v>5.5</v>
      </c>
      <c r="J88" s="96">
        <v>5.82</v>
      </c>
      <c r="K88" s="96">
        <v>5.15</v>
      </c>
      <c r="L88" s="96">
        <v>4.24</v>
      </c>
      <c r="M88" s="96">
        <v>3.6</v>
      </c>
      <c r="N88" s="96">
        <v>2.56</v>
      </c>
      <c r="O88" s="96">
        <v>1.82</v>
      </c>
      <c r="P88" s="96">
        <v>1.32</v>
      </c>
      <c r="Q88" s="102">
        <v>2.7713333333333332</v>
      </c>
      <c r="R88" s="102">
        <v>4.1760000000000002</v>
      </c>
      <c r="S88" s="102">
        <v>5.2219999999999995</v>
      </c>
      <c r="T88" s="102">
        <v>5.1260000000000003</v>
      </c>
      <c r="U88" s="102">
        <v>5.2633333333333336</v>
      </c>
      <c r="V88" s="102">
        <v>5.2919999999999998</v>
      </c>
      <c r="W88" s="102">
        <v>4.7839999999999998</v>
      </c>
      <c r="X88" s="102">
        <v>4.2880000000000003</v>
      </c>
      <c r="Y88" s="102">
        <v>4.2406666666666668</v>
      </c>
      <c r="Z88" s="102">
        <v>3.5893333333333333</v>
      </c>
      <c r="AA88" s="102">
        <v>3.0259999999999998</v>
      </c>
      <c r="AB88" s="102">
        <v>2.3666666666666667</v>
      </c>
      <c r="AC88" s="101">
        <v>2.9629629629629628</v>
      </c>
      <c r="AD88" s="101">
        <v>4.2277777777777779</v>
      </c>
      <c r="AE88" s="101">
        <v>4.8437037037037038</v>
      </c>
      <c r="AF88" s="101">
        <v>4.2837037037037033</v>
      </c>
      <c r="AG88" s="101">
        <v>4.0696296296296293</v>
      </c>
      <c r="AH88" s="101">
        <v>3.9518518518518522</v>
      </c>
      <c r="AI88" s="101">
        <v>3.6485185185185185</v>
      </c>
      <c r="AJ88" s="101">
        <v>3.4751851851851852</v>
      </c>
      <c r="AK88" s="101">
        <v>3.7644444444444449</v>
      </c>
      <c r="AL88" s="101">
        <v>3.5151851851851852</v>
      </c>
      <c r="AM88" s="101">
        <v>3.2</v>
      </c>
      <c r="AN88" s="101">
        <v>2.5711111111111111</v>
      </c>
      <c r="AO88" s="100">
        <v>2.8</v>
      </c>
      <c r="AP88" s="100">
        <v>3.85</v>
      </c>
      <c r="AQ88" s="100">
        <v>4.1399999999999997</v>
      </c>
      <c r="AR88" s="100">
        <v>3.38</v>
      </c>
      <c r="AS88" s="100">
        <v>3.04</v>
      </c>
      <c r="AT88" s="100">
        <v>2.9</v>
      </c>
      <c r="AU88" s="100">
        <v>2.73</v>
      </c>
      <c r="AV88" s="100">
        <v>2.69</v>
      </c>
      <c r="AW88" s="100">
        <v>3.12</v>
      </c>
      <c r="AX88" s="100">
        <v>3.13</v>
      </c>
      <c r="AY88" s="100">
        <v>3</v>
      </c>
      <c r="AZ88" s="100">
        <v>2.46</v>
      </c>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row>
    <row r="89" spans="1:250" s="7" customFormat="1">
      <c r="A89" s="1"/>
      <c r="B89" s="46" t="s">
        <v>221</v>
      </c>
      <c r="C89" s="46" t="s">
        <v>458</v>
      </c>
      <c r="D89" s="46" t="s">
        <v>459</v>
      </c>
      <c r="E89" s="96">
        <v>2.34</v>
      </c>
      <c r="F89" s="96">
        <v>3.33</v>
      </c>
      <c r="G89" s="96">
        <v>4.4000000000000004</v>
      </c>
      <c r="H89" s="96">
        <v>4.99</v>
      </c>
      <c r="I89" s="96">
        <v>5.27</v>
      </c>
      <c r="J89" s="96">
        <v>5.38</v>
      </c>
      <c r="K89" s="96">
        <v>4.53</v>
      </c>
      <c r="L89" s="96">
        <v>4.28</v>
      </c>
      <c r="M89" s="96">
        <v>4.03</v>
      </c>
      <c r="N89" s="96">
        <v>3.24</v>
      </c>
      <c r="O89" s="96">
        <v>2.31</v>
      </c>
      <c r="P89" s="96">
        <v>1.98</v>
      </c>
      <c r="Q89" s="102">
        <v>4.8779999999999992</v>
      </c>
      <c r="R89" s="102">
        <v>5.532</v>
      </c>
      <c r="S89" s="102">
        <v>5.758</v>
      </c>
      <c r="T89" s="102">
        <v>5.2459999999999996</v>
      </c>
      <c r="U89" s="102">
        <v>4.944</v>
      </c>
      <c r="V89" s="102">
        <v>4.7679999999999998</v>
      </c>
      <c r="W89" s="102">
        <v>4.1280000000000001</v>
      </c>
      <c r="X89" s="102">
        <v>4.2160000000000002</v>
      </c>
      <c r="Y89" s="102">
        <v>4.6959999999999997</v>
      </c>
      <c r="Z89" s="102">
        <v>4.7720000000000002</v>
      </c>
      <c r="AA89" s="102">
        <v>4.266</v>
      </c>
      <c r="AB89" s="102">
        <v>4.3739999999999997</v>
      </c>
      <c r="AC89" s="101">
        <v>5.3112500000000002</v>
      </c>
      <c r="AD89" s="101">
        <v>5.5587499999999999</v>
      </c>
      <c r="AE89" s="101">
        <v>5.2037499999999994</v>
      </c>
      <c r="AF89" s="101">
        <v>4.1950000000000003</v>
      </c>
      <c r="AG89" s="101">
        <v>3.665</v>
      </c>
      <c r="AH89" s="101">
        <v>3.4474999999999998</v>
      </c>
      <c r="AI89" s="101">
        <v>3.0650000000000004</v>
      </c>
      <c r="AJ89" s="101">
        <v>3.2762500000000001</v>
      </c>
      <c r="AK89" s="101">
        <v>4.0199999999999996</v>
      </c>
      <c r="AL89" s="101">
        <v>4.5975000000000001</v>
      </c>
      <c r="AM89" s="101">
        <v>4.5012499999999998</v>
      </c>
      <c r="AN89" s="101">
        <v>4.8599999999999994</v>
      </c>
      <c r="AO89" s="100">
        <v>5.13</v>
      </c>
      <c r="AP89" s="100">
        <v>5.09</v>
      </c>
      <c r="AQ89" s="100">
        <v>4.41</v>
      </c>
      <c r="AR89" s="100">
        <v>3.22</v>
      </c>
      <c r="AS89" s="100">
        <v>2.64</v>
      </c>
      <c r="AT89" s="100">
        <v>2.46</v>
      </c>
      <c r="AU89" s="100">
        <v>2.2400000000000002</v>
      </c>
      <c r="AV89" s="100">
        <v>2.4700000000000002</v>
      </c>
      <c r="AW89" s="100">
        <v>3.27</v>
      </c>
      <c r="AX89" s="100">
        <v>4.1100000000000003</v>
      </c>
      <c r="AY89" s="100">
        <v>4.2699999999999996</v>
      </c>
      <c r="AZ89" s="100">
        <v>4.76</v>
      </c>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row>
    <row r="90" spans="1:250" s="7" customFormat="1">
      <c r="A90" s="1"/>
      <c r="B90" s="46" t="s">
        <v>222</v>
      </c>
      <c r="C90" s="46" t="s">
        <v>460</v>
      </c>
      <c r="D90" s="46" t="s">
        <v>461</v>
      </c>
      <c r="E90" s="96">
        <v>0.3</v>
      </c>
      <c r="F90" s="96">
        <v>1.01</v>
      </c>
      <c r="G90" s="96">
        <v>2.27</v>
      </c>
      <c r="H90" s="96">
        <v>3.89</v>
      </c>
      <c r="I90" s="96">
        <v>5.17</v>
      </c>
      <c r="J90" s="96">
        <v>5.85</v>
      </c>
      <c r="K90" s="96">
        <v>5.74</v>
      </c>
      <c r="L90" s="96">
        <v>3.92</v>
      </c>
      <c r="M90" s="96">
        <v>2.46</v>
      </c>
      <c r="N90" s="96">
        <v>1.25</v>
      </c>
      <c r="O90" s="96">
        <v>0.48</v>
      </c>
      <c r="P90" s="96">
        <v>0.14000000000000001</v>
      </c>
      <c r="Q90" s="102">
        <v>0.72608695652173916</v>
      </c>
      <c r="R90" s="102">
        <v>1.7839130434782609</v>
      </c>
      <c r="S90" s="102">
        <v>3.1482608695652172</v>
      </c>
      <c r="T90" s="102">
        <v>4.5247826086956522</v>
      </c>
      <c r="U90" s="102">
        <v>5.17</v>
      </c>
      <c r="V90" s="102">
        <v>5.5108695652173916</v>
      </c>
      <c r="W90" s="102">
        <v>5.5660869565217395</v>
      </c>
      <c r="X90" s="102">
        <v>4.1634782608695655</v>
      </c>
      <c r="Y90" s="102">
        <v>3.1469565217391304</v>
      </c>
      <c r="Z90" s="102">
        <v>1.9804347826086954</v>
      </c>
      <c r="AA90" s="102">
        <v>1.0973913043478261</v>
      </c>
      <c r="AB90" s="102">
        <v>0.37478260869565216</v>
      </c>
      <c r="AC90" s="101">
        <v>0.89800000000000002</v>
      </c>
      <c r="AD90" s="101">
        <v>2</v>
      </c>
      <c r="AE90" s="101">
        <v>3.21</v>
      </c>
      <c r="AF90" s="101">
        <v>4.1639999999999997</v>
      </c>
      <c r="AG90" s="101">
        <v>4.4039999999999999</v>
      </c>
      <c r="AH90" s="101">
        <v>4.5460000000000003</v>
      </c>
      <c r="AI90" s="101">
        <v>4.6560000000000006</v>
      </c>
      <c r="AJ90" s="101">
        <v>3.68</v>
      </c>
      <c r="AK90" s="101">
        <v>3.0740000000000003</v>
      </c>
      <c r="AL90" s="101">
        <v>2.1459999999999999</v>
      </c>
      <c r="AM90" s="101">
        <v>1.3240000000000001</v>
      </c>
      <c r="AN90" s="101">
        <v>0.46199999999999997</v>
      </c>
      <c r="AO90" s="100">
        <v>0.89</v>
      </c>
      <c r="AP90" s="100">
        <v>1.91</v>
      </c>
      <c r="AQ90" s="100">
        <v>2.87</v>
      </c>
      <c r="AR90" s="100">
        <v>3.48</v>
      </c>
      <c r="AS90" s="100">
        <v>3.51</v>
      </c>
      <c r="AT90" s="100">
        <v>3.54</v>
      </c>
      <c r="AU90" s="100">
        <v>3.66</v>
      </c>
      <c r="AV90" s="100">
        <v>3.02</v>
      </c>
      <c r="AW90" s="100">
        <v>2.67</v>
      </c>
      <c r="AX90" s="100">
        <v>2</v>
      </c>
      <c r="AY90" s="100">
        <v>1.3</v>
      </c>
      <c r="AZ90" s="100">
        <v>0.47</v>
      </c>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row>
    <row r="91" spans="1:250" s="7" customFormat="1">
      <c r="A91" s="1"/>
      <c r="B91" s="46" t="s">
        <v>223</v>
      </c>
      <c r="C91" s="46" t="s">
        <v>462</v>
      </c>
      <c r="D91" s="46" t="s">
        <v>463</v>
      </c>
      <c r="E91" s="96">
        <v>0.09</v>
      </c>
      <c r="F91" s="96">
        <v>0.64</v>
      </c>
      <c r="G91" s="96">
        <v>1.86</v>
      </c>
      <c r="H91" s="96">
        <v>3.58</v>
      </c>
      <c r="I91" s="96">
        <v>5.07</v>
      </c>
      <c r="J91" s="96">
        <v>5.63</v>
      </c>
      <c r="K91" s="96">
        <v>5.44</v>
      </c>
      <c r="L91" s="96">
        <v>3.67</v>
      </c>
      <c r="M91" s="96">
        <v>2.09</v>
      </c>
      <c r="N91" s="96">
        <v>0.95</v>
      </c>
      <c r="O91" s="96">
        <v>0.21</v>
      </c>
      <c r="P91" s="96">
        <v>0</v>
      </c>
      <c r="Q91" s="102">
        <v>0.33800000000000002</v>
      </c>
      <c r="R91" s="102">
        <v>1.2639999999999998</v>
      </c>
      <c r="S91" s="102">
        <v>2.6920000000000002</v>
      </c>
      <c r="T91" s="102">
        <v>4.1959999999999997</v>
      </c>
      <c r="U91" s="102">
        <v>5.0939999999999994</v>
      </c>
      <c r="V91" s="102">
        <v>5.3180000000000005</v>
      </c>
      <c r="W91" s="102">
        <v>5.2720000000000002</v>
      </c>
      <c r="X91" s="102">
        <v>3.9180000000000001</v>
      </c>
      <c r="Y91" s="102">
        <v>2.722</v>
      </c>
      <c r="Z91" s="102">
        <v>1.6539999999999999</v>
      </c>
      <c r="AA91" s="102">
        <v>0.64200000000000002</v>
      </c>
      <c r="AB91" s="102">
        <v>0</v>
      </c>
      <c r="AC91" s="101">
        <v>0.45666666666666667</v>
      </c>
      <c r="AD91" s="101">
        <v>1.5033333333333334</v>
      </c>
      <c r="AE91" s="101">
        <v>2.8666666666666667</v>
      </c>
      <c r="AF91" s="101">
        <v>4.0166666666666666</v>
      </c>
      <c r="AG91" s="101">
        <v>4.5066666666666668</v>
      </c>
      <c r="AH91" s="101">
        <v>4.543333333333333</v>
      </c>
      <c r="AI91" s="101">
        <v>4.5633333333333335</v>
      </c>
      <c r="AJ91" s="101">
        <v>3.5666666666666664</v>
      </c>
      <c r="AK91" s="101">
        <v>2.7666666666666666</v>
      </c>
      <c r="AL91" s="101">
        <v>1.89</v>
      </c>
      <c r="AM91" s="101">
        <v>0.84</v>
      </c>
      <c r="AN91" s="101">
        <v>0</v>
      </c>
      <c r="AO91" s="100">
        <v>0.47</v>
      </c>
      <c r="AP91" s="100">
        <v>1.46</v>
      </c>
      <c r="AQ91" s="100">
        <v>2.62</v>
      </c>
      <c r="AR91" s="100">
        <v>3.43</v>
      </c>
      <c r="AS91" s="100">
        <v>3.69</v>
      </c>
      <c r="AT91" s="100">
        <v>3.64</v>
      </c>
      <c r="AU91" s="100">
        <v>3.69</v>
      </c>
      <c r="AV91" s="100">
        <v>2.99</v>
      </c>
      <c r="AW91" s="100">
        <v>2.4500000000000002</v>
      </c>
      <c r="AX91" s="100">
        <v>1.8</v>
      </c>
      <c r="AY91" s="100">
        <v>0.85</v>
      </c>
      <c r="AZ91" s="100">
        <v>0</v>
      </c>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row>
    <row r="92" spans="1:250" s="7" customFormat="1">
      <c r="A92" s="1"/>
      <c r="B92" s="46" t="s">
        <v>224</v>
      </c>
      <c r="C92" s="46" t="s">
        <v>464</v>
      </c>
      <c r="D92" s="46" t="s">
        <v>465</v>
      </c>
      <c r="E92" s="96">
        <v>0.28000000000000003</v>
      </c>
      <c r="F92" s="96">
        <v>1.1200000000000001</v>
      </c>
      <c r="G92" s="96">
        <v>2.78</v>
      </c>
      <c r="H92" s="96">
        <v>4.5199999999999996</v>
      </c>
      <c r="I92" s="96">
        <v>5.48</v>
      </c>
      <c r="J92" s="96">
        <v>6.41</v>
      </c>
      <c r="K92" s="96">
        <v>6.02</v>
      </c>
      <c r="L92" s="96">
        <v>4.59</v>
      </c>
      <c r="M92" s="96">
        <v>2.58</v>
      </c>
      <c r="N92" s="96">
        <v>1.35</v>
      </c>
      <c r="O92" s="96">
        <v>0.44</v>
      </c>
      <c r="P92" s="96">
        <v>0.12</v>
      </c>
      <c r="Q92" s="102">
        <v>0.75659574468085111</v>
      </c>
      <c r="R92" s="102">
        <v>2.0987234042553191</v>
      </c>
      <c r="S92" s="102">
        <v>4.0991489361702129</v>
      </c>
      <c r="T92" s="102">
        <v>5.4391489361702128</v>
      </c>
      <c r="U92" s="102">
        <v>5.5055319148936173</v>
      </c>
      <c r="V92" s="102">
        <v>6.0610638297872343</v>
      </c>
      <c r="W92" s="102">
        <v>5.858297872340426</v>
      </c>
      <c r="X92" s="102">
        <v>5.015531914893617</v>
      </c>
      <c r="Y92" s="102">
        <v>3.3714893617021273</v>
      </c>
      <c r="Z92" s="102">
        <v>2.2351063829787234</v>
      </c>
      <c r="AA92" s="102">
        <v>1.0953191489361702</v>
      </c>
      <c r="AB92" s="102">
        <v>0.4093617021276596</v>
      </c>
      <c r="AC92" s="101">
        <v>0.96133333333333326</v>
      </c>
      <c r="AD92" s="101">
        <v>2.4153333333333333</v>
      </c>
      <c r="AE92" s="101">
        <v>4.2993333333333332</v>
      </c>
      <c r="AF92" s="101">
        <v>5.1033333333333335</v>
      </c>
      <c r="AG92" s="101">
        <v>4.74</v>
      </c>
      <c r="AH92" s="101">
        <v>5.0306666666666668</v>
      </c>
      <c r="AI92" s="101">
        <v>4.9473333333333329</v>
      </c>
      <c r="AJ92" s="101">
        <v>4.5086666666666666</v>
      </c>
      <c r="AK92" s="101">
        <v>3.3426666666666667</v>
      </c>
      <c r="AL92" s="101">
        <v>2.4740000000000002</v>
      </c>
      <c r="AM92" s="101">
        <v>1.3566666666666667</v>
      </c>
      <c r="AN92" s="101">
        <v>0.53600000000000003</v>
      </c>
      <c r="AO92" s="100">
        <v>0.96</v>
      </c>
      <c r="AP92" s="100">
        <v>2.3199999999999998</v>
      </c>
      <c r="AQ92" s="100">
        <v>3.89</v>
      </c>
      <c r="AR92" s="100">
        <v>4.29</v>
      </c>
      <c r="AS92" s="100">
        <v>3.8</v>
      </c>
      <c r="AT92" s="100">
        <v>3.93</v>
      </c>
      <c r="AU92" s="100">
        <v>3.9</v>
      </c>
      <c r="AV92" s="100">
        <v>3.72</v>
      </c>
      <c r="AW92" s="100">
        <v>2.93</v>
      </c>
      <c r="AX92" s="100">
        <v>2.3199999999999998</v>
      </c>
      <c r="AY92" s="100">
        <v>1.35</v>
      </c>
      <c r="AZ92" s="100">
        <v>0.55000000000000004</v>
      </c>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row>
    <row r="93" spans="1:250" s="7" customFormat="1">
      <c r="A93" s="1"/>
      <c r="B93" s="46" t="s">
        <v>226</v>
      </c>
      <c r="C93" s="46" t="s">
        <v>466</v>
      </c>
      <c r="D93" s="46" t="s">
        <v>467</v>
      </c>
      <c r="E93" s="96">
        <v>0</v>
      </c>
      <c r="F93" s="96">
        <v>0.34</v>
      </c>
      <c r="G93" s="96">
        <v>1.43</v>
      </c>
      <c r="H93" s="96">
        <v>3.45</v>
      </c>
      <c r="I93" s="96">
        <v>4.9800000000000004</v>
      </c>
      <c r="J93" s="96">
        <v>5.2</v>
      </c>
      <c r="K93" s="96">
        <v>4.96</v>
      </c>
      <c r="L93" s="96">
        <v>3.48</v>
      </c>
      <c r="M93" s="96">
        <v>1.83</v>
      </c>
      <c r="N93" s="96">
        <v>0.6</v>
      </c>
      <c r="O93" s="96">
        <v>0</v>
      </c>
      <c r="P93" s="96">
        <v>0</v>
      </c>
      <c r="Q93" s="102">
        <v>0</v>
      </c>
      <c r="R93" s="102">
        <v>0.77703703703703719</v>
      </c>
      <c r="S93" s="102">
        <v>2.0966666666666667</v>
      </c>
      <c r="T93" s="102">
        <v>4.1166666666666663</v>
      </c>
      <c r="U93" s="102">
        <v>5.0170370370370376</v>
      </c>
      <c r="V93" s="102">
        <v>5</v>
      </c>
      <c r="W93" s="102">
        <v>4.8266666666666671</v>
      </c>
      <c r="X93" s="102">
        <v>3.7614814814814812</v>
      </c>
      <c r="Y93" s="102">
        <v>2.4522222222222223</v>
      </c>
      <c r="Z93" s="102">
        <v>1.125925925925926</v>
      </c>
      <c r="AA93" s="102">
        <v>0</v>
      </c>
      <c r="AB93" s="102">
        <v>0</v>
      </c>
      <c r="AC93" s="101">
        <v>0</v>
      </c>
      <c r="AD93" s="101">
        <v>0.9906666666666667</v>
      </c>
      <c r="AE93" s="101">
        <v>2.3319999999999999</v>
      </c>
      <c r="AF93" s="101">
        <v>4.1146666666666665</v>
      </c>
      <c r="AG93" s="101">
        <v>4.5866666666666669</v>
      </c>
      <c r="AH93" s="101">
        <v>4.4573333333333336</v>
      </c>
      <c r="AI93" s="101">
        <v>4.3600000000000003</v>
      </c>
      <c r="AJ93" s="101">
        <v>3.5760000000000001</v>
      </c>
      <c r="AK93" s="101">
        <v>2.6080000000000001</v>
      </c>
      <c r="AL93" s="101">
        <v>1.3586666666666667</v>
      </c>
      <c r="AM93" s="101">
        <v>0</v>
      </c>
      <c r="AN93" s="101">
        <v>0</v>
      </c>
      <c r="AO93" s="100">
        <v>0</v>
      </c>
      <c r="AP93" s="100">
        <v>0.98</v>
      </c>
      <c r="AQ93" s="100">
        <v>2.15</v>
      </c>
      <c r="AR93" s="100">
        <v>3.57</v>
      </c>
      <c r="AS93" s="100">
        <v>3.82</v>
      </c>
      <c r="AT93" s="100">
        <v>3.57</v>
      </c>
      <c r="AU93" s="100">
        <v>3.52</v>
      </c>
      <c r="AV93" s="100">
        <v>3.06</v>
      </c>
      <c r="AW93" s="100">
        <v>2.34</v>
      </c>
      <c r="AX93" s="100">
        <v>1.31</v>
      </c>
      <c r="AY93" s="100">
        <v>0</v>
      </c>
      <c r="AZ93" s="100">
        <v>0</v>
      </c>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row>
    <row r="94" spans="1:250" s="7" customFormat="1">
      <c r="A94" s="1"/>
      <c r="B94" s="46" t="s">
        <v>227</v>
      </c>
      <c r="C94" s="46" t="s">
        <v>468</v>
      </c>
      <c r="D94" s="46" t="s">
        <v>469</v>
      </c>
      <c r="E94" s="96">
        <v>0.14000000000000001</v>
      </c>
      <c r="F94" s="96">
        <v>0.64</v>
      </c>
      <c r="G94" s="96">
        <v>1.78</v>
      </c>
      <c r="H94" s="96">
        <v>3.59</v>
      </c>
      <c r="I94" s="96">
        <v>5.04</v>
      </c>
      <c r="J94" s="96">
        <v>5.75</v>
      </c>
      <c r="K94" s="96">
        <v>5.19</v>
      </c>
      <c r="L94" s="96">
        <v>3.77</v>
      </c>
      <c r="M94" s="96">
        <v>2.41</v>
      </c>
      <c r="N94" s="96">
        <v>1.0900000000000001</v>
      </c>
      <c r="O94" s="96">
        <v>0.28000000000000003</v>
      </c>
      <c r="P94" s="96">
        <v>0</v>
      </c>
      <c r="Q94" s="102">
        <v>0.49102040816326531</v>
      </c>
      <c r="R94" s="102">
        <v>1.1624489795918369</v>
      </c>
      <c r="S94" s="102">
        <v>2.4657142857142857</v>
      </c>
      <c r="T94" s="102">
        <v>4.1695918367346936</v>
      </c>
      <c r="U94" s="102">
        <v>5.0481632653061226</v>
      </c>
      <c r="V94" s="102">
        <v>5.4479591836734693</v>
      </c>
      <c r="W94" s="102">
        <v>5.0104081632653061</v>
      </c>
      <c r="X94" s="102">
        <v>4.0148979591836733</v>
      </c>
      <c r="Y94" s="102">
        <v>3.1936734693877553</v>
      </c>
      <c r="Z94" s="102">
        <v>1.873673469387755</v>
      </c>
      <c r="AA94" s="102">
        <v>0.76163265306122452</v>
      </c>
      <c r="AB94" s="102">
        <v>0</v>
      </c>
      <c r="AC94" s="101">
        <v>0.65200000000000002</v>
      </c>
      <c r="AD94" s="101">
        <v>1.35</v>
      </c>
      <c r="AE94" s="101">
        <v>2.5680000000000001</v>
      </c>
      <c r="AF94" s="101">
        <v>3.952</v>
      </c>
      <c r="AG94" s="101">
        <v>4.4239999999999995</v>
      </c>
      <c r="AH94" s="101">
        <v>4.6040000000000001</v>
      </c>
      <c r="AI94" s="101">
        <v>4.2959999999999994</v>
      </c>
      <c r="AJ94" s="101">
        <v>3.6279999999999997</v>
      </c>
      <c r="AK94" s="101">
        <v>3.2399999999999998</v>
      </c>
      <c r="AL94" s="101">
        <v>2.1179999999999999</v>
      </c>
      <c r="AM94" s="101">
        <v>0.97199999999999998</v>
      </c>
      <c r="AN94" s="101">
        <v>0</v>
      </c>
      <c r="AO94" s="100">
        <v>0.66</v>
      </c>
      <c r="AP94" s="100">
        <v>1.3</v>
      </c>
      <c r="AQ94" s="100">
        <v>2.3199999999999998</v>
      </c>
      <c r="AR94" s="100">
        <v>3.36</v>
      </c>
      <c r="AS94" s="100">
        <v>3.6</v>
      </c>
      <c r="AT94" s="100">
        <v>3.66</v>
      </c>
      <c r="AU94" s="100">
        <v>3.46</v>
      </c>
      <c r="AV94" s="100">
        <v>3.03</v>
      </c>
      <c r="AW94" s="100">
        <v>2.87</v>
      </c>
      <c r="AX94" s="100">
        <v>2.0099999999999998</v>
      </c>
      <c r="AY94" s="100">
        <v>0.98</v>
      </c>
      <c r="AZ94" s="100">
        <v>0</v>
      </c>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row>
    <row r="95" spans="1:250" s="7" customFormat="1">
      <c r="A95" s="1"/>
      <c r="B95" s="46" t="s">
        <v>228</v>
      </c>
      <c r="C95" s="46" t="s">
        <v>470</v>
      </c>
      <c r="D95" s="46" t="s">
        <v>471</v>
      </c>
      <c r="E95" s="96">
        <v>0.68</v>
      </c>
      <c r="F95" s="96">
        <v>1.43</v>
      </c>
      <c r="G95" s="96">
        <v>2.79</v>
      </c>
      <c r="H95" s="96">
        <v>4.2699999999999996</v>
      </c>
      <c r="I95" s="96">
        <v>5.54</v>
      </c>
      <c r="J95" s="96">
        <v>6</v>
      </c>
      <c r="K95" s="96">
        <v>5.74</v>
      </c>
      <c r="L95" s="96">
        <v>4.47</v>
      </c>
      <c r="M95" s="96">
        <v>2.81</v>
      </c>
      <c r="N95" s="96">
        <v>1.48</v>
      </c>
      <c r="O95" s="96">
        <v>0.82</v>
      </c>
      <c r="P95" s="96">
        <v>0.54</v>
      </c>
      <c r="Q95" s="102">
        <v>1.31</v>
      </c>
      <c r="R95" s="102">
        <v>2.29</v>
      </c>
      <c r="S95" s="102">
        <v>3.74</v>
      </c>
      <c r="T95" s="102">
        <v>4.88</v>
      </c>
      <c r="U95" s="102">
        <v>5.55</v>
      </c>
      <c r="V95" s="102">
        <v>5.66</v>
      </c>
      <c r="W95" s="102">
        <v>5.59</v>
      </c>
      <c r="X95" s="102">
        <v>4.8</v>
      </c>
      <c r="Y95" s="102">
        <v>3.47</v>
      </c>
      <c r="Z95" s="102">
        <v>2.17</v>
      </c>
      <c r="AA95" s="102">
        <v>1.47</v>
      </c>
      <c r="AB95" s="102">
        <v>1.18</v>
      </c>
      <c r="AC95" s="101">
        <v>1.48</v>
      </c>
      <c r="AD95" s="101">
        <v>2.41</v>
      </c>
      <c r="AE95" s="101">
        <v>3.61</v>
      </c>
      <c r="AF95" s="101">
        <v>4.26</v>
      </c>
      <c r="AG95" s="101">
        <v>4.5199999999999996</v>
      </c>
      <c r="AH95" s="101">
        <v>4.47</v>
      </c>
      <c r="AI95" s="101">
        <v>4.45</v>
      </c>
      <c r="AJ95" s="101">
        <v>4.04</v>
      </c>
      <c r="AK95" s="101">
        <v>3.22</v>
      </c>
      <c r="AL95" s="101">
        <v>2.21</v>
      </c>
      <c r="AM95" s="101">
        <v>1.63</v>
      </c>
      <c r="AN95" s="101">
        <v>1.38</v>
      </c>
      <c r="AO95" s="100">
        <v>1.42</v>
      </c>
      <c r="AP95" s="100">
        <v>2.2200000000000002</v>
      </c>
      <c r="AQ95" s="100">
        <v>3.14</v>
      </c>
      <c r="AR95" s="100">
        <v>3.45</v>
      </c>
      <c r="AS95" s="100">
        <v>3.46</v>
      </c>
      <c r="AT95" s="100">
        <v>3.35</v>
      </c>
      <c r="AU95" s="100">
        <v>3.36</v>
      </c>
      <c r="AV95" s="100">
        <v>3.21</v>
      </c>
      <c r="AW95" s="100">
        <v>2.72</v>
      </c>
      <c r="AX95" s="100">
        <v>1.99</v>
      </c>
      <c r="AY95" s="100">
        <v>1.54</v>
      </c>
      <c r="AZ95" s="100">
        <v>1.34</v>
      </c>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row>
    <row r="96" spans="1:250" s="7" customFormat="1">
      <c r="A96" s="1"/>
      <c r="B96" s="46" t="s">
        <v>229</v>
      </c>
      <c r="C96" s="46" t="s">
        <v>472</v>
      </c>
      <c r="D96" s="46" t="s">
        <v>473</v>
      </c>
      <c r="E96" s="96">
        <v>0.91</v>
      </c>
      <c r="F96" s="96">
        <v>1.76</v>
      </c>
      <c r="G96" s="96">
        <v>3.2</v>
      </c>
      <c r="H96" s="96">
        <v>4.5999999999999996</v>
      </c>
      <c r="I96" s="96">
        <v>5.4</v>
      </c>
      <c r="J96" s="96">
        <v>5.47</v>
      </c>
      <c r="K96" s="96">
        <v>4.76</v>
      </c>
      <c r="L96" s="96">
        <v>3.85</v>
      </c>
      <c r="M96" s="96">
        <v>3.01</v>
      </c>
      <c r="N96" s="96">
        <v>1.75</v>
      </c>
      <c r="O96" s="96">
        <v>1.05</v>
      </c>
      <c r="P96" s="96">
        <v>0.71</v>
      </c>
      <c r="Q96" s="102">
        <v>1.67</v>
      </c>
      <c r="R96" s="102">
        <v>2.7600000000000002</v>
      </c>
      <c r="S96" s="102">
        <v>4.2166666666666668</v>
      </c>
      <c r="T96" s="102">
        <v>5.1833333333333336</v>
      </c>
      <c r="U96" s="102">
        <v>5.3140000000000001</v>
      </c>
      <c r="V96" s="102">
        <v>5.1219999999999999</v>
      </c>
      <c r="W96" s="102">
        <v>4.535333333333333</v>
      </c>
      <c r="X96" s="102">
        <v>3.9879999999999995</v>
      </c>
      <c r="Y96" s="102">
        <v>3.6633333333333331</v>
      </c>
      <c r="Z96" s="102">
        <v>2.523333333333333</v>
      </c>
      <c r="AA96" s="102">
        <v>1.8186666666666667</v>
      </c>
      <c r="AB96" s="102">
        <v>1.41</v>
      </c>
      <c r="AC96" s="101">
        <v>1.8509090909090911</v>
      </c>
      <c r="AD96" s="101">
        <v>2.8663636363636362</v>
      </c>
      <c r="AE96" s="101">
        <v>4.0354545454545452</v>
      </c>
      <c r="AF96" s="101">
        <v>4.4718181818181817</v>
      </c>
      <c r="AG96" s="101">
        <v>4.2663636363636366</v>
      </c>
      <c r="AH96" s="101">
        <v>3.9890909090909088</v>
      </c>
      <c r="AI96" s="101">
        <v>3.5936363636363637</v>
      </c>
      <c r="AJ96" s="101">
        <v>3.31</v>
      </c>
      <c r="AK96" s="101">
        <v>3.3463636363636362</v>
      </c>
      <c r="AL96" s="101">
        <v>2.5436363636363635</v>
      </c>
      <c r="AM96" s="101">
        <v>1.9781818181818183</v>
      </c>
      <c r="AN96" s="101">
        <v>1.5945454545454547</v>
      </c>
      <c r="AO96" s="100">
        <v>1.76</v>
      </c>
      <c r="AP96" s="100">
        <v>2.63</v>
      </c>
      <c r="AQ96" s="100">
        <v>3.49</v>
      </c>
      <c r="AR96" s="100">
        <v>3.59</v>
      </c>
      <c r="AS96" s="100">
        <v>3.23</v>
      </c>
      <c r="AT96" s="100">
        <v>2.98</v>
      </c>
      <c r="AU96" s="100">
        <v>2.73</v>
      </c>
      <c r="AV96" s="100">
        <v>2.61</v>
      </c>
      <c r="AW96" s="100">
        <v>2.81</v>
      </c>
      <c r="AX96" s="100">
        <v>2.2799999999999998</v>
      </c>
      <c r="AY96" s="100">
        <v>1.86</v>
      </c>
      <c r="AZ96" s="100">
        <v>1.54</v>
      </c>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row>
    <row r="97" spans="1:250" s="7" customFormat="1">
      <c r="A97" s="1"/>
      <c r="B97" s="46" t="s">
        <v>225</v>
      </c>
      <c r="C97" s="46" t="s">
        <v>474</v>
      </c>
      <c r="D97" s="46" t="s">
        <v>475</v>
      </c>
      <c r="E97" s="96">
        <v>0.39</v>
      </c>
      <c r="F97" s="96">
        <v>1.19</v>
      </c>
      <c r="G97" s="96">
        <v>2.69</v>
      </c>
      <c r="H97" s="96">
        <v>4.29</v>
      </c>
      <c r="I97" s="96">
        <v>5.51</v>
      </c>
      <c r="J97" s="96">
        <v>5.77</v>
      </c>
      <c r="K97" s="96">
        <v>5.07</v>
      </c>
      <c r="L97" s="96">
        <v>3.94</v>
      </c>
      <c r="M97" s="96">
        <v>2.76</v>
      </c>
      <c r="N97" s="96">
        <v>1.44</v>
      </c>
      <c r="O97" s="96">
        <v>0.59</v>
      </c>
      <c r="P97" s="96">
        <v>0.26</v>
      </c>
      <c r="Q97" s="102">
        <v>0.86272727272727279</v>
      </c>
      <c r="R97" s="102">
        <v>2.0354545454545456</v>
      </c>
      <c r="S97" s="102">
        <v>3.7809090909090912</v>
      </c>
      <c r="T97" s="102">
        <v>5.0354545454545461</v>
      </c>
      <c r="U97" s="102">
        <v>5.5645454545454545</v>
      </c>
      <c r="V97" s="102">
        <v>5.4427272727272733</v>
      </c>
      <c r="W97" s="102">
        <v>4.8881818181818186</v>
      </c>
      <c r="X97" s="102">
        <v>4.1672727272727279</v>
      </c>
      <c r="Y97" s="102">
        <v>3.5327272727272727</v>
      </c>
      <c r="Z97" s="102">
        <v>2.2581818181818178</v>
      </c>
      <c r="AA97" s="102">
        <v>1.2172727272727273</v>
      </c>
      <c r="AB97" s="102">
        <v>0.64181818181818184</v>
      </c>
      <c r="AC97" s="101">
        <v>1.022</v>
      </c>
      <c r="AD97" s="101">
        <v>2.2473333333333332</v>
      </c>
      <c r="AE97" s="101">
        <v>3.8126666666666669</v>
      </c>
      <c r="AF97" s="101">
        <v>4.57</v>
      </c>
      <c r="AG97" s="101">
        <v>4.67</v>
      </c>
      <c r="AH97" s="101">
        <v>4.4279999999999999</v>
      </c>
      <c r="AI97" s="101">
        <v>4.0339999999999998</v>
      </c>
      <c r="AJ97" s="101">
        <v>3.6339999999999999</v>
      </c>
      <c r="AK97" s="101">
        <v>3.4086666666666665</v>
      </c>
      <c r="AL97" s="101">
        <v>2.4079999999999999</v>
      </c>
      <c r="AM97" s="101">
        <v>1.4293333333333333</v>
      </c>
      <c r="AN97" s="101">
        <v>0.78200000000000003</v>
      </c>
      <c r="AO97" s="100">
        <v>1</v>
      </c>
      <c r="AP97" s="100">
        <v>2.12</v>
      </c>
      <c r="AQ97" s="100">
        <v>3.4</v>
      </c>
      <c r="AR97" s="100">
        <v>3.79</v>
      </c>
      <c r="AS97" s="100">
        <v>3.67</v>
      </c>
      <c r="AT97" s="100">
        <v>3.41</v>
      </c>
      <c r="AU97" s="100">
        <v>3.15</v>
      </c>
      <c r="AV97" s="100">
        <v>2.95</v>
      </c>
      <c r="AW97" s="100">
        <v>2.95</v>
      </c>
      <c r="AX97" s="100">
        <v>2.2200000000000002</v>
      </c>
      <c r="AY97" s="100">
        <v>1.39</v>
      </c>
      <c r="AZ97" s="100">
        <v>0.78</v>
      </c>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row>
    <row r="98" spans="1:250" s="7" customFormat="1">
      <c r="A98" s="1"/>
      <c r="B98" s="46" t="s">
        <v>230</v>
      </c>
      <c r="C98" s="46" t="s">
        <v>476</v>
      </c>
      <c r="D98" s="46" t="s">
        <v>477</v>
      </c>
      <c r="E98" s="96">
        <v>0.81</v>
      </c>
      <c r="F98" s="96">
        <v>1.81</v>
      </c>
      <c r="G98" s="96">
        <v>3.29</v>
      </c>
      <c r="H98" s="96">
        <v>4.5599999999999996</v>
      </c>
      <c r="I98" s="96">
        <v>5.13</v>
      </c>
      <c r="J98" s="96">
        <v>5.59</v>
      </c>
      <c r="K98" s="96">
        <v>5.12</v>
      </c>
      <c r="L98" s="96">
        <v>4.32</v>
      </c>
      <c r="M98" s="96">
        <v>2.72</v>
      </c>
      <c r="N98" s="96">
        <v>1.81</v>
      </c>
      <c r="O98" s="96">
        <v>1</v>
      </c>
      <c r="P98" s="96">
        <v>0.52</v>
      </c>
      <c r="Q98" s="102">
        <v>1.7465853658536585</v>
      </c>
      <c r="R98" s="102">
        <v>3.107560975609756</v>
      </c>
      <c r="S98" s="102">
        <v>4.5778048780487808</v>
      </c>
      <c r="T98" s="102">
        <v>5.3014634146341466</v>
      </c>
      <c r="U98" s="102">
        <v>5.1202439024390243</v>
      </c>
      <c r="V98" s="102">
        <v>5.2680487804878044</v>
      </c>
      <c r="W98" s="102">
        <v>4.9346341463414634</v>
      </c>
      <c r="X98" s="102">
        <v>4.5931707317073167</v>
      </c>
      <c r="Y98" s="102">
        <v>3.3639024390243901</v>
      </c>
      <c r="Z98" s="102">
        <v>2.785609756097561</v>
      </c>
      <c r="AA98" s="102">
        <v>1.975609756097561</v>
      </c>
      <c r="AB98" s="102">
        <v>1.193170731707317</v>
      </c>
      <c r="AC98" s="101">
        <v>2.0346666666666668</v>
      </c>
      <c r="AD98" s="101">
        <v>3.3586666666666667</v>
      </c>
      <c r="AE98" s="101">
        <v>4.5119999999999996</v>
      </c>
      <c r="AF98" s="101">
        <v>4.690666666666667</v>
      </c>
      <c r="AG98" s="101">
        <v>4.1953333333333331</v>
      </c>
      <c r="AH98" s="101">
        <v>4.2</v>
      </c>
      <c r="AI98" s="101">
        <v>3.9860000000000002</v>
      </c>
      <c r="AJ98" s="101">
        <v>3.9193333333333333</v>
      </c>
      <c r="AK98" s="101">
        <v>3.1439999999999997</v>
      </c>
      <c r="AL98" s="101">
        <v>2.8926666666666669</v>
      </c>
      <c r="AM98" s="101">
        <v>2.246</v>
      </c>
      <c r="AN98" s="101">
        <v>1.4153333333333333</v>
      </c>
      <c r="AO98" s="100">
        <v>1.98</v>
      </c>
      <c r="AP98" s="100">
        <v>3.12</v>
      </c>
      <c r="AQ98" s="100">
        <v>3.96</v>
      </c>
      <c r="AR98" s="100">
        <v>3.83</v>
      </c>
      <c r="AS98" s="100">
        <v>3.25</v>
      </c>
      <c r="AT98" s="100">
        <v>3.18</v>
      </c>
      <c r="AU98" s="100">
        <v>3.05</v>
      </c>
      <c r="AV98" s="100">
        <v>3.12</v>
      </c>
      <c r="AW98" s="100">
        <v>2.67</v>
      </c>
      <c r="AX98" s="100">
        <v>2.63</v>
      </c>
      <c r="AY98" s="100">
        <v>2.15</v>
      </c>
      <c r="AZ98" s="100">
        <v>1.38</v>
      </c>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row>
    <row r="99" spans="1:250" s="7" customFormat="1">
      <c r="A99" s="1"/>
      <c r="B99" s="46" t="s">
        <v>231</v>
      </c>
      <c r="C99" s="46" t="s">
        <v>478</v>
      </c>
      <c r="D99" s="46" t="s">
        <v>479</v>
      </c>
      <c r="E99" s="96">
        <v>1.54</v>
      </c>
      <c r="F99" s="96">
        <v>2.7</v>
      </c>
      <c r="G99" s="96">
        <v>4.12</v>
      </c>
      <c r="H99" s="96">
        <v>4.8600000000000003</v>
      </c>
      <c r="I99" s="96">
        <v>5.72</v>
      </c>
      <c r="J99" s="96">
        <v>5.99</v>
      </c>
      <c r="K99" s="96">
        <v>5.08</v>
      </c>
      <c r="L99" s="96">
        <v>4.46</v>
      </c>
      <c r="M99" s="96">
        <v>3.59</v>
      </c>
      <c r="N99" s="96">
        <v>2.4900000000000002</v>
      </c>
      <c r="O99" s="96">
        <v>1.69</v>
      </c>
      <c r="P99" s="96">
        <v>1.23</v>
      </c>
      <c r="Q99" s="102">
        <v>2.8033333333333332</v>
      </c>
      <c r="R99" s="102">
        <v>4.2766666666666664</v>
      </c>
      <c r="S99" s="102">
        <v>5.37</v>
      </c>
      <c r="T99" s="102">
        <v>5.3533333333333335</v>
      </c>
      <c r="U99" s="102">
        <v>5.54</v>
      </c>
      <c r="V99" s="102">
        <v>5.5100000000000007</v>
      </c>
      <c r="W99" s="102">
        <v>4.7666666666666666</v>
      </c>
      <c r="X99" s="102">
        <v>4.6033333333333335</v>
      </c>
      <c r="Y99" s="102">
        <v>4.32</v>
      </c>
      <c r="Z99" s="102">
        <v>3.5733333333333333</v>
      </c>
      <c r="AA99" s="102">
        <v>2.94</v>
      </c>
      <c r="AB99" s="102">
        <v>2.3566666666666665</v>
      </c>
      <c r="AC99" s="101">
        <v>3.0720000000000001</v>
      </c>
      <c r="AD99" s="101">
        <v>4.4279999999999999</v>
      </c>
      <c r="AE99" s="101">
        <v>5.0620000000000003</v>
      </c>
      <c r="AF99" s="101">
        <v>4.5359999999999996</v>
      </c>
      <c r="AG99" s="101">
        <v>4.3220000000000001</v>
      </c>
      <c r="AH99" s="101">
        <v>4.2060000000000004</v>
      </c>
      <c r="AI99" s="101">
        <v>3.6680000000000001</v>
      </c>
      <c r="AJ99" s="101">
        <v>3.7600000000000002</v>
      </c>
      <c r="AK99" s="101">
        <v>3.8979999999999997</v>
      </c>
      <c r="AL99" s="101">
        <v>3.5579999999999998</v>
      </c>
      <c r="AM99" s="101">
        <v>3.1760000000000002</v>
      </c>
      <c r="AN99" s="101">
        <v>2.6240000000000001</v>
      </c>
      <c r="AO99" s="100">
        <v>2.92</v>
      </c>
      <c r="AP99" s="100">
        <v>4.0599999999999996</v>
      </c>
      <c r="AQ99" s="100">
        <v>4.3499999999999996</v>
      </c>
      <c r="AR99" s="100">
        <v>3.6</v>
      </c>
      <c r="AS99" s="100">
        <v>3.25</v>
      </c>
      <c r="AT99" s="100">
        <v>3.07</v>
      </c>
      <c r="AU99" s="100">
        <v>2.78</v>
      </c>
      <c r="AV99" s="100">
        <v>2.92</v>
      </c>
      <c r="AW99" s="100">
        <v>3.25</v>
      </c>
      <c r="AX99" s="100">
        <v>3.19</v>
      </c>
      <c r="AY99" s="100">
        <v>3</v>
      </c>
      <c r="AZ99" s="100">
        <v>2.52</v>
      </c>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row>
    <row r="100" spans="1:250">
      <c r="B100" s="46" t="s">
        <v>221</v>
      </c>
      <c r="C100" s="46" t="s">
        <v>458</v>
      </c>
      <c r="D100" s="46" t="s">
        <v>459</v>
      </c>
      <c r="E100" s="96">
        <v>2.34</v>
      </c>
      <c r="F100" s="96">
        <v>3.33</v>
      </c>
      <c r="G100" s="96">
        <v>4.4000000000000004</v>
      </c>
      <c r="H100" s="96">
        <v>4.99</v>
      </c>
      <c r="I100" s="96">
        <v>5.27</v>
      </c>
      <c r="J100" s="96">
        <v>5.38</v>
      </c>
      <c r="K100" s="96">
        <v>4.53</v>
      </c>
      <c r="L100" s="96">
        <v>4.28</v>
      </c>
      <c r="M100" s="96">
        <v>4.03</v>
      </c>
      <c r="N100" s="96">
        <v>3.24</v>
      </c>
      <c r="O100" s="96">
        <v>2.31</v>
      </c>
      <c r="P100" s="96">
        <v>1.98</v>
      </c>
      <c r="Q100" s="102">
        <v>4.8779999999999992</v>
      </c>
      <c r="R100" s="102">
        <v>5.532</v>
      </c>
      <c r="S100" s="102">
        <v>5.758</v>
      </c>
      <c r="T100" s="102">
        <v>5.2459999999999996</v>
      </c>
      <c r="U100" s="102">
        <v>4.944</v>
      </c>
      <c r="V100" s="102">
        <v>4.7679999999999998</v>
      </c>
      <c r="W100" s="102">
        <v>4.1280000000000001</v>
      </c>
      <c r="X100" s="102">
        <v>4.2160000000000002</v>
      </c>
      <c r="Y100" s="102">
        <v>4.6959999999999997</v>
      </c>
      <c r="Z100" s="102">
        <v>4.7720000000000002</v>
      </c>
      <c r="AA100" s="102">
        <v>4.266</v>
      </c>
      <c r="AB100" s="102">
        <v>4.3739999999999997</v>
      </c>
      <c r="AC100" s="101">
        <v>5.3112500000000002</v>
      </c>
      <c r="AD100" s="101">
        <v>5.5587499999999999</v>
      </c>
      <c r="AE100" s="101">
        <v>5.2037499999999994</v>
      </c>
      <c r="AF100" s="101">
        <v>4.1950000000000003</v>
      </c>
      <c r="AG100" s="101">
        <v>3.665</v>
      </c>
      <c r="AH100" s="101">
        <v>3.4474999999999998</v>
      </c>
      <c r="AI100" s="101">
        <v>3.0650000000000004</v>
      </c>
      <c r="AJ100" s="101">
        <v>3.2762500000000001</v>
      </c>
      <c r="AK100" s="101">
        <v>4.0199999999999996</v>
      </c>
      <c r="AL100" s="101">
        <v>4.5975000000000001</v>
      </c>
      <c r="AM100" s="101">
        <v>4.5012499999999998</v>
      </c>
      <c r="AN100" s="101">
        <v>4.8599999999999994</v>
      </c>
      <c r="AO100" s="100">
        <v>5.13</v>
      </c>
      <c r="AP100" s="100">
        <v>5.09</v>
      </c>
      <c r="AQ100" s="100">
        <v>4.41</v>
      </c>
      <c r="AR100" s="100">
        <v>3.22</v>
      </c>
      <c r="AS100" s="100">
        <v>2.64</v>
      </c>
      <c r="AT100" s="100">
        <v>2.46</v>
      </c>
      <c r="AU100" s="100">
        <v>2.2400000000000002</v>
      </c>
      <c r="AV100" s="100">
        <v>2.4700000000000002</v>
      </c>
      <c r="AW100" s="100">
        <v>3.27</v>
      </c>
      <c r="AX100" s="100">
        <v>4.1100000000000003</v>
      </c>
      <c r="AY100" s="100">
        <v>4.2699999999999996</v>
      </c>
      <c r="AZ100" s="100">
        <v>4.76</v>
      </c>
    </row>
    <row r="101" spans="1:250">
      <c r="B101" s="46" t="s">
        <v>232</v>
      </c>
      <c r="C101" s="46" t="s">
        <v>480</v>
      </c>
      <c r="D101" s="46" t="s">
        <v>481</v>
      </c>
      <c r="E101" s="96">
        <v>0</v>
      </c>
      <c r="F101" s="96">
        <v>0.32</v>
      </c>
      <c r="G101" s="96">
        <v>1.4</v>
      </c>
      <c r="H101" s="96">
        <v>3.51</v>
      </c>
      <c r="I101" s="96">
        <v>5.21</v>
      </c>
      <c r="J101" s="96">
        <v>5.46</v>
      </c>
      <c r="K101" s="96">
        <v>5.14</v>
      </c>
      <c r="L101" s="96">
        <v>3.53</v>
      </c>
      <c r="M101" s="96">
        <v>1.86</v>
      </c>
      <c r="N101" s="96">
        <v>0.63</v>
      </c>
      <c r="O101" s="96">
        <v>0</v>
      </c>
      <c r="P101" s="96">
        <v>0</v>
      </c>
      <c r="Q101" s="102">
        <v>0</v>
      </c>
      <c r="R101" s="102">
        <v>0.71259259259259267</v>
      </c>
      <c r="S101" s="102">
        <v>2.0370370370370368</v>
      </c>
      <c r="T101" s="102">
        <v>4.206296296296296</v>
      </c>
      <c r="U101" s="102">
        <v>5.2692592592592593</v>
      </c>
      <c r="V101" s="102">
        <v>5.2600000000000007</v>
      </c>
      <c r="W101" s="102">
        <v>5.0140740740740739</v>
      </c>
      <c r="X101" s="102">
        <v>3.8262962962962965</v>
      </c>
      <c r="Y101" s="102">
        <v>2.5044444444444443</v>
      </c>
      <c r="Z101" s="102">
        <v>1.2003703703703703</v>
      </c>
      <c r="AA101" s="102">
        <v>0</v>
      </c>
      <c r="AB101" s="102">
        <v>0</v>
      </c>
      <c r="AC101" s="101">
        <v>0</v>
      </c>
      <c r="AD101" s="101">
        <v>0.9</v>
      </c>
      <c r="AE101" s="101">
        <v>2.2526666666666664</v>
      </c>
      <c r="AF101" s="101">
        <v>4.214666666666667</v>
      </c>
      <c r="AG101" s="101">
        <v>4.8346666666666671</v>
      </c>
      <c r="AH101" s="101">
        <v>4.6946666666666665</v>
      </c>
      <c r="AI101" s="101">
        <v>4.5380000000000003</v>
      </c>
      <c r="AJ101" s="101">
        <v>3.6453333333333333</v>
      </c>
      <c r="AK101" s="101">
        <v>2.6680000000000001</v>
      </c>
      <c r="AL101" s="101">
        <v>1.4586666666666666</v>
      </c>
      <c r="AM101" s="101">
        <v>0</v>
      </c>
      <c r="AN101" s="101">
        <v>0</v>
      </c>
      <c r="AO101" s="100">
        <v>0</v>
      </c>
      <c r="AP101" s="100">
        <v>0.89</v>
      </c>
      <c r="AQ101" s="100">
        <v>2.0699999999999998</v>
      </c>
      <c r="AR101" s="100">
        <v>3.66</v>
      </c>
      <c r="AS101" s="100">
        <v>4.03</v>
      </c>
      <c r="AT101" s="100">
        <v>3.76</v>
      </c>
      <c r="AU101" s="100">
        <v>3.66</v>
      </c>
      <c r="AV101" s="100">
        <v>3.12</v>
      </c>
      <c r="AW101" s="100">
        <v>2.4</v>
      </c>
      <c r="AX101" s="100">
        <v>1.41</v>
      </c>
      <c r="AY101" s="100">
        <v>0</v>
      </c>
      <c r="AZ101" s="100">
        <v>0</v>
      </c>
    </row>
    <row r="102" spans="1:250">
      <c r="B102" s="46" t="s">
        <v>233</v>
      </c>
      <c r="C102" s="46" t="s">
        <v>482</v>
      </c>
      <c r="D102" s="46" t="s">
        <v>483</v>
      </c>
      <c r="E102" s="96">
        <v>0.8</v>
      </c>
      <c r="F102" s="96">
        <v>1.72</v>
      </c>
      <c r="G102" s="96">
        <v>3.03</v>
      </c>
      <c r="H102" s="96">
        <v>4.26</v>
      </c>
      <c r="I102" s="96">
        <v>5.36</v>
      </c>
      <c r="J102" s="96">
        <v>5.79</v>
      </c>
      <c r="K102" s="96">
        <v>5.72</v>
      </c>
      <c r="L102" s="96">
        <v>4.54</v>
      </c>
      <c r="M102" s="96">
        <v>2.82</v>
      </c>
      <c r="N102" s="96">
        <v>1.66</v>
      </c>
      <c r="O102" s="96">
        <v>0.92</v>
      </c>
      <c r="P102" s="96">
        <v>0.55000000000000004</v>
      </c>
      <c r="Q102" s="102">
        <v>1.59</v>
      </c>
      <c r="R102" s="102">
        <v>2.83</v>
      </c>
      <c r="S102" s="102">
        <v>4.1100000000000003</v>
      </c>
      <c r="T102" s="102">
        <v>4.8499999999999996</v>
      </c>
      <c r="U102" s="102">
        <v>5.35</v>
      </c>
      <c r="V102" s="102">
        <v>5.45</v>
      </c>
      <c r="W102" s="102">
        <v>5.56</v>
      </c>
      <c r="X102" s="102">
        <v>4.9000000000000004</v>
      </c>
      <c r="Y102" s="102">
        <v>3.48</v>
      </c>
      <c r="Z102" s="102">
        <v>2.4700000000000002</v>
      </c>
      <c r="AA102" s="102">
        <v>1.7</v>
      </c>
      <c r="AB102" s="102">
        <v>1.2</v>
      </c>
      <c r="AC102" s="101">
        <v>1.81</v>
      </c>
      <c r="AD102" s="101">
        <v>3</v>
      </c>
      <c r="AE102" s="101">
        <v>3.99</v>
      </c>
      <c r="AF102" s="101">
        <v>4.24</v>
      </c>
      <c r="AG102" s="101">
        <v>4.3499999999999996</v>
      </c>
      <c r="AH102" s="101">
        <v>4.3</v>
      </c>
      <c r="AI102" s="101">
        <v>4.43</v>
      </c>
      <c r="AJ102" s="101">
        <v>4.12</v>
      </c>
      <c r="AK102" s="101">
        <v>3.22</v>
      </c>
      <c r="AL102" s="101">
        <v>2.5299999999999998</v>
      </c>
      <c r="AM102" s="101">
        <v>1.89</v>
      </c>
      <c r="AN102" s="101">
        <v>1.39</v>
      </c>
      <c r="AO102" s="100">
        <v>1.74</v>
      </c>
      <c r="AP102" s="100">
        <v>2.77</v>
      </c>
      <c r="AQ102" s="100">
        <v>3.47</v>
      </c>
      <c r="AR102" s="100">
        <v>3.43</v>
      </c>
      <c r="AS102" s="100">
        <v>3.33</v>
      </c>
      <c r="AT102" s="100">
        <v>3.23</v>
      </c>
      <c r="AU102" s="100">
        <v>3.34</v>
      </c>
      <c r="AV102" s="100">
        <v>3.26</v>
      </c>
      <c r="AW102" s="100">
        <v>2.71</v>
      </c>
      <c r="AX102" s="100">
        <v>2.2799999999999998</v>
      </c>
      <c r="AY102" s="100">
        <v>1.79</v>
      </c>
      <c r="AZ102" s="100">
        <v>1.35</v>
      </c>
    </row>
    <row r="103" spans="1:250">
      <c r="B103" s="46" t="s">
        <v>234</v>
      </c>
      <c r="C103" s="46" t="s">
        <v>484</v>
      </c>
      <c r="D103" s="46" t="s">
        <v>485</v>
      </c>
      <c r="E103" s="96">
        <v>0.5</v>
      </c>
      <c r="F103" s="96">
        <v>1.28</v>
      </c>
      <c r="G103" s="96">
        <v>2.5499999999999998</v>
      </c>
      <c r="H103" s="96">
        <v>4.08</v>
      </c>
      <c r="I103" s="96">
        <v>5</v>
      </c>
      <c r="J103" s="96">
        <v>5.79</v>
      </c>
      <c r="K103" s="96">
        <v>5.53</v>
      </c>
      <c r="L103" s="96">
        <v>3.82</v>
      </c>
      <c r="M103" s="96">
        <v>2.34</v>
      </c>
      <c r="N103" s="96">
        <v>1.21</v>
      </c>
      <c r="O103" s="96">
        <v>0.67</v>
      </c>
      <c r="P103" s="96">
        <v>0.32</v>
      </c>
      <c r="Q103" s="102">
        <v>1.0767441860465117</v>
      </c>
      <c r="R103" s="102">
        <v>2.1544186046511626</v>
      </c>
      <c r="S103" s="102">
        <v>3.4709302325581395</v>
      </c>
      <c r="T103" s="102">
        <v>4.7032558139534881</v>
      </c>
      <c r="U103" s="102">
        <v>4.9813953488372098</v>
      </c>
      <c r="V103" s="102">
        <v>5.4551162790697667</v>
      </c>
      <c r="W103" s="102">
        <v>5.3439534883720929</v>
      </c>
      <c r="X103" s="102">
        <v>3.9967441860465116</v>
      </c>
      <c r="Y103" s="102">
        <v>2.8609302325581396</v>
      </c>
      <c r="Z103" s="102">
        <v>1.7774418604651163</v>
      </c>
      <c r="AA103" s="102">
        <v>1.3211627906976746</v>
      </c>
      <c r="AB103" s="102">
        <v>0.73860465116279062</v>
      </c>
      <c r="AC103" s="101">
        <v>1.272</v>
      </c>
      <c r="AD103" s="101">
        <v>2.35</v>
      </c>
      <c r="AE103" s="101">
        <v>3.4420000000000002</v>
      </c>
      <c r="AF103" s="101">
        <v>4.2039999999999997</v>
      </c>
      <c r="AG103" s="101">
        <v>4.1320000000000006</v>
      </c>
      <c r="AH103" s="101">
        <v>4.3959999999999999</v>
      </c>
      <c r="AI103" s="101">
        <v>4.37</v>
      </c>
      <c r="AJ103" s="101">
        <v>3.4460000000000002</v>
      </c>
      <c r="AK103" s="101">
        <v>2.6879999999999997</v>
      </c>
      <c r="AL103" s="101">
        <v>1.8480000000000001</v>
      </c>
      <c r="AM103" s="101">
        <v>1.512</v>
      </c>
      <c r="AN103" s="101">
        <v>0.89200000000000002</v>
      </c>
      <c r="AO103" s="100">
        <v>1.24</v>
      </c>
      <c r="AP103" s="100">
        <v>2.19</v>
      </c>
      <c r="AQ103" s="100">
        <v>3.04</v>
      </c>
      <c r="AR103" s="100">
        <v>3.46</v>
      </c>
      <c r="AS103" s="100">
        <v>3.24</v>
      </c>
      <c r="AT103" s="100">
        <v>3.36</v>
      </c>
      <c r="AU103" s="100">
        <v>3.37</v>
      </c>
      <c r="AV103" s="100">
        <v>2.78</v>
      </c>
      <c r="AW103" s="100">
        <v>2.29</v>
      </c>
      <c r="AX103" s="100">
        <v>1.68</v>
      </c>
      <c r="AY103" s="100">
        <v>1.46</v>
      </c>
      <c r="AZ103" s="100">
        <v>0.88</v>
      </c>
    </row>
    <row r="104" spans="1:250">
      <c r="B104" s="46" t="s">
        <v>235</v>
      </c>
      <c r="C104" s="46" t="s">
        <v>486</v>
      </c>
      <c r="D104" s="46" t="s">
        <v>487</v>
      </c>
      <c r="E104" s="96">
        <v>0.68</v>
      </c>
      <c r="F104" s="96">
        <v>1.51</v>
      </c>
      <c r="G104" s="96">
        <v>2.9</v>
      </c>
      <c r="H104" s="96">
        <v>4.3499999999999996</v>
      </c>
      <c r="I104" s="96">
        <v>5.07</v>
      </c>
      <c r="J104" s="96">
        <v>5.77</v>
      </c>
      <c r="K104" s="96">
        <v>5.35</v>
      </c>
      <c r="L104" s="96">
        <v>4.0199999999999996</v>
      </c>
      <c r="M104" s="96">
        <v>2.6</v>
      </c>
      <c r="N104" s="96">
        <v>1.41</v>
      </c>
      <c r="O104" s="96">
        <v>0.83</v>
      </c>
      <c r="P104" s="96">
        <v>0.45</v>
      </c>
      <c r="Q104" s="102">
        <v>1.4117073170731707</v>
      </c>
      <c r="R104" s="102">
        <v>2.505121951219512</v>
      </c>
      <c r="S104" s="102">
        <v>3.9634146341463419</v>
      </c>
      <c r="T104" s="102">
        <v>5.0231707317073173</v>
      </c>
      <c r="U104" s="102">
        <v>5.0602439024390238</v>
      </c>
      <c r="V104" s="102">
        <v>5.4480487804878051</v>
      </c>
      <c r="W104" s="102">
        <v>5.1743902439024385</v>
      </c>
      <c r="X104" s="102">
        <v>4.2248780487804884</v>
      </c>
      <c r="Y104" s="102">
        <v>3.1951219512195124</v>
      </c>
      <c r="Z104" s="102">
        <v>2.0734146341463413</v>
      </c>
      <c r="AA104" s="102">
        <v>1.581219512195122</v>
      </c>
      <c r="AB104" s="102">
        <v>0.98658536585365852</v>
      </c>
      <c r="AC104" s="101">
        <v>1.6259999999999999</v>
      </c>
      <c r="AD104" s="101">
        <v>2.68</v>
      </c>
      <c r="AE104" s="101">
        <v>3.8906666666666667</v>
      </c>
      <c r="AF104" s="101">
        <v>4.4393333333333338</v>
      </c>
      <c r="AG104" s="101">
        <v>4.1446666666666667</v>
      </c>
      <c r="AH104" s="101">
        <v>4.3406666666666665</v>
      </c>
      <c r="AI104" s="101">
        <v>4.1773333333333333</v>
      </c>
      <c r="AJ104" s="101">
        <v>3.6059999999999999</v>
      </c>
      <c r="AK104" s="101">
        <v>2.9733333333333332</v>
      </c>
      <c r="AL104" s="101">
        <v>2.1226666666666669</v>
      </c>
      <c r="AM104" s="101">
        <v>1.7773333333333334</v>
      </c>
      <c r="AN104" s="101">
        <v>1.1666666666666665</v>
      </c>
      <c r="AO104" s="100">
        <v>1.57</v>
      </c>
      <c r="AP104" s="100">
        <v>2.4900000000000002</v>
      </c>
      <c r="AQ104" s="100">
        <v>3.4</v>
      </c>
      <c r="AR104" s="100">
        <v>3.62</v>
      </c>
      <c r="AS104" s="100">
        <v>3.21</v>
      </c>
      <c r="AT104" s="100">
        <v>3.28</v>
      </c>
      <c r="AU104" s="100">
        <v>3.19</v>
      </c>
      <c r="AV104" s="100">
        <v>2.88</v>
      </c>
      <c r="AW104" s="100">
        <v>2.52</v>
      </c>
      <c r="AX104" s="100">
        <v>1.92</v>
      </c>
      <c r="AY104" s="100">
        <v>1.7</v>
      </c>
      <c r="AZ104" s="100">
        <v>1.1299999999999999</v>
      </c>
    </row>
    <row r="105" spans="1:250">
      <c r="B105" s="46" t="s">
        <v>236</v>
      </c>
      <c r="C105" s="46" t="s">
        <v>488</v>
      </c>
      <c r="D105" s="46" t="s">
        <v>489</v>
      </c>
      <c r="E105" s="96">
        <v>0.3</v>
      </c>
      <c r="F105" s="96">
        <v>1.06</v>
      </c>
      <c r="G105" s="96">
        <v>2.34</v>
      </c>
      <c r="H105" s="96">
        <v>3.92</v>
      </c>
      <c r="I105" s="96">
        <v>4.95</v>
      </c>
      <c r="J105" s="96">
        <v>5.68</v>
      </c>
      <c r="K105" s="96">
        <v>5.5</v>
      </c>
      <c r="L105" s="96">
        <v>3.75</v>
      </c>
      <c r="M105" s="96">
        <v>2.21</v>
      </c>
      <c r="N105" s="96">
        <v>1.06</v>
      </c>
      <c r="O105" s="96">
        <v>0.46</v>
      </c>
      <c r="P105" s="96">
        <v>0.17</v>
      </c>
      <c r="Q105" s="102">
        <v>0.76086956521739135</v>
      </c>
      <c r="R105" s="102">
        <v>1.9121739130434783</v>
      </c>
      <c r="S105" s="102">
        <v>3.2878260869565219</v>
      </c>
      <c r="T105" s="102">
        <v>4.580869565217391</v>
      </c>
      <c r="U105" s="102">
        <v>4.9413043478260876</v>
      </c>
      <c r="V105" s="102">
        <v>5.3495652173913042</v>
      </c>
      <c r="W105" s="102">
        <v>5.3347826086956518</v>
      </c>
      <c r="X105" s="102">
        <v>3.9586956521739132</v>
      </c>
      <c r="Y105" s="102">
        <v>2.7665217391304351</v>
      </c>
      <c r="Z105" s="102">
        <v>1.6252173913043477</v>
      </c>
      <c r="AA105" s="102">
        <v>1.06</v>
      </c>
      <c r="AB105" s="102">
        <v>0.55260869565217396</v>
      </c>
      <c r="AC105" s="101">
        <v>0.93799999999999994</v>
      </c>
      <c r="AD105" s="101">
        <v>2.1659999999999999</v>
      </c>
      <c r="AE105" s="101">
        <v>3.37</v>
      </c>
      <c r="AF105" s="101">
        <v>4.2279999999999998</v>
      </c>
      <c r="AG105" s="101">
        <v>4.2139999999999995</v>
      </c>
      <c r="AH105" s="101">
        <v>4.4279999999999999</v>
      </c>
      <c r="AI105" s="101">
        <v>4.4700000000000006</v>
      </c>
      <c r="AJ105" s="101">
        <v>3.4980000000000002</v>
      </c>
      <c r="AK105" s="101">
        <v>2.6859999999999999</v>
      </c>
      <c r="AL105" s="101">
        <v>1.746</v>
      </c>
      <c r="AM105" s="101">
        <v>1.284</v>
      </c>
      <c r="AN105" s="101">
        <v>0.70799999999999996</v>
      </c>
      <c r="AO105" s="100">
        <v>0.94</v>
      </c>
      <c r="AP105" s="100">
        <v>2.0699999999999998</v>
      </c>
      <c r="AQ105" s="100">
        <v>3.03</v>
      </c>
      <c r="AR105" s="100">
        <v>3.54</v>
      </c>
      <c r="AS105" s="100">
        <v>3.37</v>
      </c>
      <c r="AT105" s="100">
        <v>3.46</v>
      </c>
      <c r="AU105" s="100">
        <v>3.53</v>
      </c>
      <c r="AV105" s="100">
        <v>2.87</v>
      </c>
      <c r="AW105" s="100">
        <v>2.33</v>
      </c>
      <c r="AX105" s="100">
        <v>1.62</v>
      </c>
      <c r="AY105" s="100">
        <v>1.27</v>
      </c>
      <c r="AZ105" s="100">
        <v>0.72</v>
      </c>
    </row>
    <row r="106" spans="1:250">
      <c r="B106" s="46" t="s">
        <v>228</v>
      </c>
      <c r="C106" s="46" t="s">
        <v>470</v>
      </c>
      <c r="D106" s="46" t="s">
        <v>471</v>
      </c>
      <c r="E106" s="96" t="s">
        <v>490</v>
      </c>
      <c r="F106" s="96" t="s">
        <v>379</v>
      </c>
      <c r="G106" s="96" t="s">
        <v>405</v>
      </c>
      <c r="H106" s="96" t="s">
        <v>491</v>
      </c>
      <c r="I106" s="96" t="s">
        <v>492</v>
      </c>
      <c r="J106" s="96" t="s">
        <v>493</v>
      </c>
      <c r="K106" s="96" t="s">
        <v>494</v>
      </c>
      <c r="L106" s="96" t="s">
        <v>495</v>
      </c>
      <c r="M106" s="96" t="s">
        <v>496</v>
      </c>
      <c r="N106" s="96" t="s">
        <v>497</v>
      </c>
      <c r="O106" s="96" t="s">
        <v>498</v>
      </c>
      <c r="P106" s="96" t="s">
        <v>499</v>
      </c>
      <c r="Q106" s="102">
        <v>1.31</v>
      </c>
      <c r="R106" s="102">
        <v>2.29</v>
      </c>
      <c r="S106" s="102">
        <v>3.74</v>
      </c>
      <c r="T106" s="102">
        <v>4.88</v>
      </c>
      <c r="U106" s="102">
        <v>5.55</v>
      </c>
      <c r="V106" s="102">
        <v>5.66</v>
      </c>
      <c r="W106" s="102">
        <v>5.59</v>
      </c>
      <c r="X106" s="102">
        <v>4.8</v>
      </c>
      <c r="Y106" s="102">
        <v>3.47</v>
      </c>
      <c r="Z106" s="102">
        <v>2.17</v>
      </c>
      <c r="AA106" s="102">
        <v>1.47</v>
      </c>
      <c r="AB106" s="102">
        <v>1.18</v>
      </c>
      <c r="AC106" s="101" t="s">
        <v>497</v>
      </c>
      <c r="AD106" s="101" t="s">
        <v>373</v>
      </c>
      <c r="AE106" s="101" t="s">
        <v>500</v>
      </c>
      <c r="AF106" s="101" t="s">
        <v>501</v>
      </c>
      <c r="AG106" s="101" t="s">
        <v>502</v>
      </c>
      <c r="AH106" s="101" t="s">
        <v>495</v>
      </c>
      <c r="AI106" s="101" t="s">
        <v>503</v>
      </c>
      <c r="AJ106" s="101" t="s">
        <v>504</v>
      </c>
      <c r="AK106" s="101" t="s">
        <v>505</v>
      </c>
      <c r="AL106" s="101" t="s">
        <v>506</v>
      </c>
      <c r="AM106" s="101" t="s">
        <v>507</v>
      </c>
      <c r="AN106" s="101" t="s">
        <v>265</v>
      </c>
      <c r="AO106" s="100" t="s">
        <v>508</v>
      </c>
      <c r="AP106" s="100" t="s">
        <v>371</v>
      </c>
      <c r="AQ106" s="100" t="s">
        <v>295</v>
      </c>
      <c r="AR106" s="100" t="s">
        <v>267</v>
      </c>
      <c r="AS106" s="100" t="s">
        <v>509</v>
      </c>
      <c r="AT106" s="100" t="s">
        <v>291</v>
      </c>
      <c r="AU106" s="100" t="s">
        <v>384</v>
      </c>
      <c r="AV106" s="100" t="s">
        <v>510</v>
      </c>
      <c r="AW106" s="100" t="s">
        <v>511</v>
      </c>
      <c r="AX106" s="100" t="s">
        <v>328</v>
      </c>
      <c r="AY106" s="100" t="s">
        <v>512</v>
      </c>
      <c r="AZ106" s="100" t="s">
        <v>513</v>
      </c>
    </row>
    <row r="107" spans="1:250">
      <c r="B107" s="46" t="s">
        <v>237</v>
      </c>
      <c r="C107" s="46" t="s">
        <v>514</v>
      </c>
      <c r="D107" s="46" t="s">
        <v>515</v>
      </c>
      <c r="E107" s="96">
        <v>0.27</v>
      </c>
      <c r="F107" s="96">
        <v>1.03</v>
      </c>
      <c r="G107" s="96">
        <v>2.5299999999999998</v>
      </c>
      <c r="H107" s="96">
        <v>4.24</v>
      </c>
      <c r="I107" s="96">
        <v>5.43</v>
      </c>
      <c r="J107" s="96">
        <v>6.01</v>
      </c>
      <c r="K107" s="96">
        <v>5.91</v>
      </c>
      <c r="L107" s="96">
        <v>4.29</v>
      </c>
      <c r="M107" s="96">
        <v>2.5</v>
      </c>
      <c r="N107" s="96">
        <v>1.21</v>
      </c>
      <c r="O107" s="96">
        <v>0.43</v>
      </c>
      <c r="P107" s="96">
        <v>0.11</v>
      </c>
      <c r="Q107" s="102">
        <v>0.7465957446808511</v>
      </c>
      <c r="R107" s="102">
        <v>1.9236170212765957</v>
      </c>
      <c r="S107" s="102">
        <v>3.6874468085106384</v>
      </c>
      <c r="T107" s="102">
        <v>5.0655319148936169</v>
      </c>
      <c r="U107" s="102">
        <v>5.4555319148936166</v>
      </c>
      <c r="V107" s="102">
        <v>5.6780851063829791</v>
      </c>
      <c r="W107" s="102">
        <v>5.7568085106382982</v>
      </c>
      <c r="X107" s="102">
        <v>4.6389361702127658</v>
      </c>
      <c r="Y107" s="102">
        <v>3.2574468085106383</v>
      </c>
      <c r="Z107" s="102">
        <v>1.9759574468085104</v>
      </c>
      <c r="AA107" s="102">
        <v>1.0853191489361702</v>
      </c>
      <c r="AB107" s="102">
        <v>0.37382978723404253</v>
      </c>
      <c r="AC107" s="101">
        <v>0.95133333333333336</v>
      </c>
      <c r="AD107" s="101">
        <v>2.21</v>
      </c>
      <c r="AE107" s="101">
        <v>3.85</v>
      </c>
      <c r="AF107" s="101">
        <v>4.7446666666666673</v>
      </c>
      <c r="AG107" s="101">
        <v>4.7053333333333329</v>
      </c>
      <c r="AH107" s="101">
        <v>4.718</v>
      </c>
      <c r="AI107" s="101">
        <v>4.8679999999999994</v>
      </c>
      <c r="AJ107" s="101">
        <v>4.1653333333333338</v>
      </c>
      <c r="AK107" s="101">
        <v>3.2279999999999998</v>
      </c>
      <c r="AL107" s="101">
        <v>2.1739999999999999</v>
      </c>
      <c r="AM107" s="101">
        <v>1.3513333333333335</v>
      </c>
      <c r="AN107" s="101">
        <v>0.48599999999999999</v>
      </c>
      <c r="AO107" s="100">
        <v>0.95</v>
      </c>
      <c r="AP107" s="100">
        <v>2.12</v>
      </c>
      <c r="AQ107" s="100">
        <v>3.48</v>
      </c>
      <c r="AR107" s="100">
        <v>4</v>
      </c>
      <c r="AS107" s="100">
        <v>3.78</v>
      </c>
      <c r="AT107" s="100">
        <v>3.71</v>
      </c>
      <c r="AU107" s="100">
        <v>3.85</v>
      </c>
      <c r="AV107" s="100">
        <v>3.44</v>
      </c>
      <c r="AW107" s="100">
        <v>2.83</v>
      </c>
      <c r="AX107" s="100">
        <v>2.04</v>
      </c>
      <c r="AY107" s="100">
        <v>1.35</v>
      </c>
      <c r="AZ107" s="100">
        <v>0.5</v>
      </c>
    </row>
    <row r="108" spans="1:250">
      <c r="B108" s="46" t="s">
        <v>238</v>
      </c>
      <c r="C108" s="46" t="s">
        <v>516</v>
      </c>
      <c r="D108" s="46" t="s">
        <v>517</v>
      </c>
      <c r="E108" s="96">
        <v>0.41</v>
      </c>
      <c r="F108" s="96">
        <v>1.33</v>
      </c>
      <c r="G108" s="96">
        <v>2.85</v>
      </c>
      <c r="H108" s="96">
        <v>4.4800000000000004</v>
      </c>
      <c r="I108" s="96">
        <v>5.36</v>
      </c>
      <c r="J108" s="96">
        <v>5.94</v>
      </c>
      <c r="K108" s="96">
        <v>5.73</v>
      </c>
      <c r="L108" s="96">
        <v>4.33</v>
      </c>
      <c r="M108" s="96">
        <v>2.58</v>
      </c>
      <c r="N108" s="96">
        <v>1.35</v>
      </c>
      <c r="O108" s="96">
        <v>0.6</v>
      </c>
      <c r="P108" s="96">
        <v>0.23</v>
      </c>
      <c r="Q108" s="102">
        <v>1.0144444444444445</v>
      </c>
      <c r="R108" s="102">
        <v>2.4322222222222223</v>
      </c>
      <c r="S108" s="102">
        <v>4.112222222222222</v>
      </c>
      <c r="T108" s="102">
        <v>5.3244444444444445</v>
      </c>
      <c r="U108" s="102">
        <v>5.3777777777777773</v>
      </c>
      <c r="V108" s="102">
        <v>5.62</v>
      </c>
      <c r="W108" s="102">
        <v>5.5611111111111109</v>
      </c>
      <c r="X108" s="102">
        <v>4.6588888888888889</v>
      </c>
      <c r="Y108" s="102">
        <v>3.3000000000000003</v>
      </c>
      <c r="Z108" s="102">
        <v>2.15</v>
      </c>
      <c r="AA108" s="102">
        <v>1.3733333333333335</v>
      </c>
      <c r="AB108" s="102">
        <v>0.66555555555555557</v>
      </c>
      <c r="AC108" s="101">
        <v>1.2433333333333334</v>
      </c>
      <c r="AD108" s="101">
        <v>2.7433333333333332</v>
      </c>
      <c r="AE108" s="101">
        <v>4.2233333333333336</v>
      </c>
      <c r="AF108" s="101">
        <v>4.9066666666666663</v>
      </c>
      <c r="AG108" s="101">
        <v>4.5633333333333335</v>
      </c>
      <c r="AH108" s="101">
        <v>4.6066666666666665</v>
      </c>
      <c r="AI108" s="101">
        <v>4.6266666666666669</v>
      </c>
      <c r="AJ108" s="101">
        <v>4.1166666666666671</v>
      </c>
      <c r="AK108" s="101">
        <v>3.21</v>
      </c>
      <c r="AL108" s="101">
        <v>2.313333333333333</v>
      </c>
      <c r="AM108" s="101">
        <v>1.6433333333333333</v>
      </c>
      <c r="AN108" s="101">
        <v>0.84666666666666668</v>
      </c>
      <c r="AO108" s="100">
        <v>1.24</v>
      </c>
      <c r="AP108" s="100">
        <v>2.61</v>
      </c>
      <c r="AQ108" s="100">
        <v>3.79</v>
      </c>
      <c r="AR108" s="100">
        <v>4.09</v>
      </c>
      <c r="AS108" s="100">
        <v>3.62</v>
      </c>
      <c r="AT108" s="100">
        <v>3.57</v>
      </c>
      <c r="AU108" s="100">
        <v>3.62</v>
      </c>
      <c r="AV108" s="100">
        <v>3.36</v>
      </c>
      <c r="AW108" s="100">
        <v>2.79</v>
      </c>
      <c r="AX108" s="100">
        <v>2.15</v>
      </c>
      <c r="AY108" s="100">
        <v>1.62</v>
      </c>
      <c r="AZ108" s="100">
        <v>0.85</v>
      </c>
    </row>
    <row r="109" spans="1:250">
      <c r="B109" s="46" t="s">
        <v>239</v>
      </c>
      <c r="C109" s="46" t="s">
        <v>518</v>
      </c>
      <c r="D109" s="46" t="s">
        <v>519</v>
      </c>
      <c r="E109" s="96">
        <v>0</v>
      </c>
      <c r="F109" s="96">
        <v>0.55000000000000004</v>
      </c>
      <c r="G109" s="96">
        <v>2.1</v>
      </c>
      <c r="H109" s="96">
        <v>4.1900000000000004</v>
      </c>
      <c r="I109" s="96">
        <v>5.5</v>
      </c>
      <c r="J109" s="96">
        <v>5.7</v>
      </c>
      <c r="K109" s="96">
        <v>5.57</v>
      </c>
      <c r="L109" s="96">
        <v>4</v>
      </c>
      <c r="M109" s="96">
        <v>2.27</v>
      </c>
      <c r="N109" s="96">
        <v>0.95</v>
      </c>
      <c r="O109" s="96">
        <v>0.14000000000000001</v>
      </c>
      <c r="P109" s="96">
        <v>0</v>
      </c>
      <c r="Q109" s="102">
        <v>0</v>
      </c>
      <c r="R109" s="102">
        <v>1.1961538461538461</v>
      </c>
      <c r="S109" s="102">
        <v>3.2923076923076922</v>
      </c>
      <c r="T109" s="102">
        <v>5.1207692307692314</v>
      </c>
      <c r="U109" s="102">
        <v>5.569230769230769</v>
      </c>
      <c r="V109" s="102">
        <v>5.453846153846154</v>
      </c>
      <c r="W109" s="102">
        <v>5.4161538461538461</v>
      </c>
      <c r="X109" s="102">
        <v>4.3230769230769228</v>
      </c>
      <c r="Y109" s="102">
        <v>3.1161538461538463</v>
      </c>
      <c r="Z109" s="102">
        <v>1.7884615384615383</v>
      </c>
      <c r="AA109" s="102">
        <v>0.65538461538461545</v>
      </c>
      <c r="AB109" s="102">
        <v>0</v>
      </c>
      <c r="AC109" s="101">
        <v>0</v>
      </c>
      <c r="AD109" s="101">
        <v>1.482</v>
      </c>
      <c r="AE109" s="101">
        <v>3.68</v>
      </c>
      <c r="AF109" s="101">
        <v>5.0780000000000003</v>
      </c>
      <c r="AG109" s="101">
        <v>5.0179999999999998</v>
      </c>
      <c r="AH109" s="101">
        <v>4.7460000000000004</v>
      </c>
      <c r="AI109" s="101">
        <v>4.7679999999999998</v>
      </c>
      <c r="AJ109" s="101">
        <v>4.0460000000000003</v>
      </c>
      <c r="AK109" s="101">
        <v>3.2880000000000003</v>
      </c>
      <c r="AL109" s="101">
        <v>2.1259999999999999</v>
      </c>
      <c r="AM109" s="101">
        <v>0.91800000000000004</v>
      </c>
      <c r="AN109" s="101">
        <v>0</v>
      </c>
      <c r="AO109" s="100">
        <v>0</v>
      </c>
      <c r="AP109" s="100">
        <v>1.46</v>
      </c>
      <c r="AQ109" s="100">
        <v>3.4</v>
      </c>
      <c r="AR109" s="100">
        <v>4.3899999999999997</v>
      </c>
      <c r="AS109" s="100">
        <v>4.1399999999999997</v>
      </c>
      <c r="AT109" s="100">
        <v>3.82</v>
      </c>
      <c r="AU109" s="100">
        <v>3.89</v>
      </c>
      <c r="AV109" s="100">
        <v>3.42</v>
      </c>
      <c r="AW109" s="100">
        <v>2.95</v>
      </c>
      <c r="AX109" s="100">
        <v>2.0499999999999998</v>
      </c>
      <c r="AY109" s="100">
        <v>0.95</v>
      </c>
      <c r="AZ109" s="100">
        <v>0</v>
      </c>
    </row>
    <row r="110" spans="1:250">
      <c r="B110" s="46" t="s">
        <v>240</v>
      </c>
      <c r="C110" s="46" t="s">
        <v>520</v>
      </c>
      <c r="D110" s="46" t="s">
        <v>521</v>
      </c>
      <c r="E110" s="96">
        <v>0</v>
      </c>
      <c r="F110" s="96">
        <v>0.24</v>
      </c>
      <c r="G110" s="96">
        <v>1.43</v>
      </c>
      <c r="H110" s="96">
        <v>3.58</v>
      </c>
      <c r="I110" s="96">
        <v>5.17</v>
      </c>
      <c r="J110" s="96">
        <v>5.52</v>
      </c>
      <c r="K110" s="96">
        <v>4.95</v>
      </c>
      <c r="L110" s="96">
        <v>3.47</v>
      </c>
      <c r="M110" s="96">
        <v>1.72</v>
      </c>
      <c r="N110" s="96">
        <v>0.54</v>
      </c>
      <c r="O110" s="96">
        <v>0</v>
      </c>
      <c r="P110" s="96">
        <v>0</v>
      </c>
      <c r="Q110" s="102">
        <v>0</v>
      </c>
      <c r="R110" s="102">
        <v>0.69714285714285706</v>
      </c>
      <c r="S110" s="102">
        <v>2.3014285714285716</v>
      </c>
      <c r="T110" s="102">
        <v>4.4014285714285721</v>
      </c>
      <c r="U110" s="102">
        <v>5.2128571428571435</v>
      </c>
      <c r="V110" s="102">
        <v>5.4057142857142857</v>
      </c>
      <c r="W110" s="102">
        <v>4.9071428571428566</v>
      </c>
      <c r="X110" s="102">
        <v>3.7842857142857143</v>
      </c>
      <c r="Y110" s="102">
        <v>2.3914285714285715</v>
      </c>
      <c r="Z110" s="102">
        <v>1.1757142857142857</v>
      </c>
      <c r="AA110" s="102">
        <v>0</v>
      </c>
      <c r="AB110" s="102">
        <v>0</v>
      </c>
      <c r="AC110" s="101">
        <v>0</v>
      </c>
      <c r="AD110" s="101">
        <v>0.94533333333333325</v>
      </c>
      <c r="AE110" s="101">
        <v>2.6779999999999999</v>
      </c>
      <c r="AF110" s="101">
        <v>4.5246666666666666</v>
      </c>
      <c r="AG110" s="101">
        <v>4.9033333333333333</v>
      </c>
      <c r="AH110" s="101">
        <v>4.8746666666666663</v>
      </c>
      <c r="AI110" s="101">
        <v>4.4700000000000006</v>
      </c>
      <c r="AJ110" s="101">
        <v>3.6766666666666667</v>
      </c>
      <c r="AK110" s="101">
        <v>2.6133333333333333</v>
      </c>
      <c r="AL110" s="101">
        <v>1.4953333333333334</v>
      </c>
      <c r="AM110" s="101">
        <v>0</v>
      </c>
      <c r="AN110" s="101">
        <v>0</v>
      </c>
      <c r="AO110" s="100">
        <v>0</v>
      </c>
      <c r="AP110" s="100">
        <v>0.95</v>
      </c>
      <c r="AQ110" s="100">
        <v>2.5099999999999998</v>
      </c>
      <c r="AR110" s="100">
        <v>3.99</v>
      </c>
      <c r="AS110" s="100">
        <v>4.04</v>
      </c>
      <c r="AT110" s="100">
        <v>3.93</v>
      </c>
      <c r="AU110" s="100">
        <v>3.64</v>
      </c>
      <c r="AV110" s="100">
        <v>3.18</v>
      </c>
      <c r="AW110" s="100">
        <v>2.38</v>
      </c>
      <c r="AX110" s="100">
        <v>1.47</v>
      </c>
      <c r="AY110" s="100">
        <v>0</v>
      </c>
      <c r="AZ110" s="100">
        <v>0</v>
      </c>
    </row>
    <row r="111" spans="1:250">
      <c r="B111" s="46" t="s">
        <v>241</v>
      </c>
      <c r="C111" s="46" t="s">
        <v>522</v>
      </c>
      <c r="D111" s="46" t="s">
        <v>523</v>
      </c>
      <c r="E111" s="96">
        <v>0.19</v>
      </c>
      <c r="F111" s="96">
        <v>0.81</v>
      </c>
      <c r="G111" s="96">
        <v>2.1</v>
      </c>
      <c r="H111" s="96">
        <v>3.71</v>
      </c>
      <c r="I111" s="96">
        <v>4.9800000000000004</v>
      </c>
      <c r="J111" s="96">
        <v>5.58</v>
      </c>
      <c r="K111" s="96">
        <v>5.57</v>
      </c>
      <c r="L111" s="96">
        <v>3.83</v>
      </c>
      <c r="M111" s="96">
        <v>2.27</v>
      </c>
      <c r="N111" s="96">
        <v>1.1000000000000001</v>
      </c>
      <c r="O111" s="96">
        <v>0.33</v>
      </c>
      <c r="P111" s="96">
        <v>0</v>
      </c>
      <c r="Q111" s="102">
        <v>0.54833333333333334</v>
      </c>
      <c r="R111" s="102">
        <v>1.4933333333333332</v>
      </c>
      <c r="S111" s="102">
        <v>2.9749999999999996</v>
      </c>
      <c r="T111" s="102">
        <v>4.335</v>
      </c>
      <c r="U111" s="102">
        <v>4.9716666666666667</v>
      </c>
      <c r="V111" s="102">
        <v>5.2466666666666661</v>
      </c>
      <c r="W111" s="102">
        <v>5.3950000000000005</v>
      </c>
      <c r="X111" s="102">
        <v>4.0716666666666672</v>
      </c>
      <c r="Y111" s="102">
        <v>2.9033333333333333</v>
      </c>
      <c r="Z111" s="102">
        <v>1.8083333333333331</v>
      </c>
      <c r="AA111" s="102">
        <v>0.79666666666666663</v>
      </c>
      <c r="AB111" s="102">
        <v>0</v>
      </c>
      <c r="AC111" s="101">
        <v>0.70399999999999996</v>
      </c>
      <c r="AD111" s="101">
        <v>1.7253333333333334</v>
      </c>
      <c r="AE111" s="101">
        <v>3.1046666666666667</v>
      </c>
      <c r="AF111" s="101">
        <v>4.0686666666666662</v>
      </c>
      <c r="AG111" s="101">
        <v>4.3126666666666669</v>
      </c>
      <c r="AH111" s="101">
        <v>4.4006666666666669</v>
      </c>
      <c r="AI111" s="101">
        <v>4.5853333333333328</v>
      </c>
      <c r="AJ111" s="101">
        <v>3.6480000000000001</v>
      </c>
      <c r="AK111" s="101">
        <v>2.8866666666666667</v>
      </c>
      <c r="AL111" s="101">
        <v>2.0060000000000002</v>
      </c>
      <c r="AM111" s="101">
        <v>0.99399999999999999</v>
      </c>
      <c r="AN111" s="101">
        <v>0</v>
      </c>
      <c r="AO111" s="100">
        <v>0.71</v>
      </c>
      <c r="AP111" s="100">
        <v>1.65</v>
      </c>
      <c r="AQ111" s="100">
        <v>2.81</v>
      </c>
      <c r="AR111" s="100">
        <v>3.43</v>
      </c>
      <c r="AS111" s="100">
        <v>3.48</v>
      </c>
      <c r="AT111" s="100">
        <v>3.48</v>
      </c>
      <c r="AU111" s="100">
        <v>3.66</v>
      </c>
      <c r="AV111" s="100">
        <v>3.02</v>
      </c>
      <c r="AW111" s="100">
        <v>2.5299999999999998</v>
      </c>
      <c r="AX111" s="100">
        <v>1.89</v>
      </c>
      <c r="AY111" s="100">
        <v>0.99</v>
      </c>
      <c r="AZ111" s="100">
        <v>0</v>
      </c>
    </row>
    <row r="112" spans="1:250">
      <c r="B112" s="46" t="s">
        <v>242</v>
      </c>
      <c r="C112" s="46" t="s">
        <v>524</v>
      </c>
      <c r="D112" s="46" t="s">
        <v>525</v>
      </c>
      <c r="E112" s="96">
        <v>0</v>
      </c>
      <c r="F112" s="96">
        <v>0.46</v>
      </c>
      <c r="G112" s="96">
        <v>1.48</v>
      </c>
      <c r="H112" s="96">
        <v>3.15</v>
      </c>
      <c r="I112" s="96">
        <v>4.75</v>
      </c>
      <c r="J112" s="96">
        <v>5.19</v>
      </c>
      <c r="K112" s="96">
        <v>5.1100000000000003</v>
      </c>
      <c r="L112" s="96">
        <v>3.53</v>
      </c>
      <c r="M112" s="96">
        <v>2.04</v>
      </c>
      <c r="N112" s="96">
        <v>0.8</v>
      </c>
      <c r="O112" s="96">
        <v>0.12</v>
      </c>
      <c r="P112" s="96">
        <v>0</v>
      </c>
      <c r="Q112" s="102">
        <v>0</v>
      </c>
      <c r="R112" s="102">
        <v>0.93692307692307697</v>
      </c>
      <c r="S112" s="102">
        <v>2.0723076923076924</v>
      </c>
      <c r="T112" s="102">
        <v>3.5961538461538463</v>
      </c>
      <c r="U112" s="102">
        <v>4.7346153846153847</v>
      </c>
      <c r="V112" s="102">
        <v>4.9592307692307687</v>
      </c>
      <c r="W112" s="102">
        <v>4.9407692307692308</v>
      </c>
      <c r="X112" s="102">
        <v>3.73</v>
      </c>
      <c r="Y112" s="102">
        <v>2.7246153846153849</v>
      </c>
      <c r="Z112" s="102">
        <v>1.430769230769231</v>
      </c>
      <c r="AA112" s="102">
        <v>0.49692307692307691</v>
      </c>
      <c r="AB112" s="102">
        <v>0</v>
      </c>
      <c r="AC112" s="101">
        <v>0</v>
      </c>
      <c r="AD112" s="101">
        <v>1.1399999999999999</v>
      </c>
      <c r="AE112" s="101">
        <v>2.226</v>
      </c>
      <c r="AF112" s="101">
        <v>3.4740000000000002</v>
      </c>
      <c r="AG112" s="101">
        <v>4.2379999999999995</v>
      </c>
      <c r="AH112" s="101">
        <v>4.306</v>
      </c>
      <c r="AI112" s="101">
        <v>4.3479999999999999</v>
      </c>
      <c r="AJ112" s="101">
        <v>3.448</v>
      </c>
      <c r="AK112" s="101">
        <v>2.8420000000000001</v>
      </c>
      <c r="AL112" s="101">
        <v>1.6839999999999999</v>
      </c>
      <c r="AM112" s="101">
        <v>0.68600000000000005</v>
      </c>
      <c r="AN112" s="101">
        <v>0</v>
      </c>
      <c r="AO112" s="100">
        <v>0</v>
      </c>
      <c r="AP112" s="100">
        <v>1.1100000000000001</v>
      </c>
      <c r="AQ112" s="100">
        <v>2.0299999999999998</v>
      </c>
      <c r="AR112" s="100">
        <v>2.98</v>
      </c>
      <c r="AS112" s="100">
        <v>3.5</v>
      </c>
      <c r="AT112" s="100">
        <v>3.46</v>
      </c>
      <c r="AU112" s="100">
        <v>3.54</v>
      </c>
      <c r="AV112" s="100">
        <v>2.91</v>
      </c>
      <c r="AW112" s="100">
        <v>2.54</v>
      </c>
      <c r="AX112" s="100">
        <v>1.61</v>
      </c>
      <c r="AY112" s="100">
        <v>0.71</v>
      </c>
      <c r="AZ112" s="100">
        <v>0</v>
      </c>
    </row>
    <row r="113" spans="2:53">
      <c r="B113" s="46" t="s">
        <v>243</v>
      </c>
      <c r="C113" s="46" t="s">
        <v>526</v>
      </c>
      <c r="D113" s="46" t="s">
        <v>527</v>
      </c>
      <c r="E113" s="96">
        <v>0</v>
      </c>
      <c r="F113" s="96">
        <v>0.42</v>
      </c>
      <c r="G113" s="96">
        <v>1.56</v>
      </c>
      <c r="H113" s="96">
        <v>3.56</v>
      </c>
      <c r="I113" s="96">
        <v>5.0999999999999996</v>
      </c>
      <c r="J113" s="96">
        <v>5.71</v>
      </c>
      <c r="K113" s="96">
        <v>5.2</v>
      </c>
      <c r="L113" s="96">
        <v>3.62</v>
      </c>
      <c r="M113" s="96">
        <v>1.97</v>
      </c>
      <c r="N113" s="96">
        <v>0.77</v>
      </c>
      <c r="O113" s="96">
        <v>0.09</v>
      </c>
      <c r="P113" s="96">
        <v>0</v>
      </c>
      <c r="Q113" s="102">
        <v>0</v>
      </c>
      <c r="R113" s="102">
        <v>0.9105660377358491</v>
      </c>
      <c r="S113" s="102">
        <v>2.2996226415094343</v>
      </c>
      <c r="T113" s="102">
        <v>4.2392452830188683</v>
      </c>
      <c r="U113" s="102">
        <v>5.1150943396226412</v>
      </c>
      <c r="V113" s="102">
        <v>5.4760377358490571</v>
      </c>
      <c r="W113" s="102">
        <v>5.0188679245283021</v>
      </c>
      <c r="X113" s="102">
        <v>3.9218867924528298</v>
      </c>
      <c r="Y113" s="102">
        <v>2.649245283018868</v>
      </c>
      <c r="Z113" s="102">
        <v>1.4341509433962263</v>
      </c>
      <c r="AA113" s="102">
        <v>0.48245283018867924</v>
      </c>
      <c r="AB113" s="102">
        <v>0</v>
      </c>
      <c r="AC113" s="101">
        <v>0</v>
      </c>
      <c r="AD113" s="101">
        <v>1.1299999999999999</v>
      </c>
      <c r="AE113" s="101">
        <v>2.556</v>
      </c>
      <c r="AF113" s="101">
        <v>4.2906666666666666</v>
      </c>
      <c r="AG113" s="101">
        <v>4.7679999999999998</v>
      </c>
      <c r="AH113" s="101">
        <v>5.0446666666666671</v>
      </c>
      <c r="AI113" s="101">
        <v>4.5906666666666665</v>
      </c>
      <c r="AJ113" s="101">
        <v>3.8006666666666669</v>
      </c>
      <c r="AK113" s="101">
        <v>2.845333333333333</v>
      </c>
      <c r="AL113" s="101">
        <v>1.724</v>
      </c>
      <c r="AM113" s="101">
        <v>0.68599999999999994</v>
      </c>
      <c r="AN113" s="101">
        <v>0</v>
      </c>
      <c r="AO113" s="100">
        <v>0</v>
      </c>
      <c r="AP113" s="100">
        <v>1.1100000000000001</v>
      </c>
      <c r="AQ113" s="100">
        <v>2.3199999999999998</v>
      </c>
      <c r="AR113" s="100">
        <v>3.62</v>
      </c>
      <c r="AS113" s="100">
        <v>3.84</v>
      </c>
      <c r="AT113" s="100">
        <v>3.87</v>
      </c>
      <c r="AU113" s="100">
        <v>3.64</v>
      </c>
      <c r="AV113" s="100">
        <v>3.14</v>
      </c>
      <c r="AW113" s="100">
        <v>2.5</v>
      </c>
      <c r="AX113" s="100">
        <v>1.65</v>
      </c>
      <c r="AY113" s="100">
        <v>0.72</v>
      </c>
      <c r="AZ113" s="100">
        <v>0</v>
      </c>
    </row>
    <row r="114" spans="2:53">
      <c r="B114" s="46" t="s">
        <v>244</v>
      </c>
      <c r="C114" s="46" t="s">
        <v>528</v>
      </c>
      <c r="D114" s="46" t="s">
        <v>529</v>
      </c>
      <c r="E114" s="96">
        <v>0</v>
      </c>
      <c r="F114" s="96">
        <v>0.48</v>
      </c>
      <c r="G114" s="96">
        <v>1.89</v>
      </c>
      <c r="H114" s="96">
        <v>3.96</v>
      </c>
      <c r="I114" s="96">
        <v>5.51</v>
      </c>
      <c r="J114" s="96">
        <v>5.48</v>
      </c>
      <c r="K114" s="96">
        <v>5.34</v>
      </c>
      <c r="L114" s="96">
        <v>3.69</v>
      </c>
      <c r="M114" s="96">
        <v>1.97</v>
      </c>
      <c r="N114" s="96">
        <v>0.8</v>
      </c>
      <c r="O114" s="96">
        <v>0.08</v>
      </c>
      <c r="P114" s="96">
        <v>0</v>
      </c>
      <c r="Q114" s="102">
        <v>0</v>
      </c>
      <c r="R114" s="102">
        <v>1.1139622641509435</v>
      </c>
      <c r="S114" s="102">
        <v>2.976792452830189</v>
      </c>
      <c r="T114" s="102">
        <v>4.8354716981132073</v>
      </c>
      <c r="U114" s="102">
        <v>5.5779245283018861</v>
      </c>
      <c r="V114" s="102">
        <v>5.2611320754716981</v>
      </c>
      <c r="W114" s="102">
        <v>5.166415094339623</v>
      </c>
      <c r="X114" s="102">
        <v>4.0145283018867923</v>
      </c>
      <c r="Y114" s="102">
        <v>2.6567924528301887</v>
      </c>
      <c r="Z114" s="102">
        <v>1.5245283018867926</v>
      </c>
      <c r="AA114" s="102">
        <v>0.54037735849056601</v>
      </c>
      <c r="AB114" s="102">
        <v>0</v>
      </c>
      <c r="AC114" s="101">
        <v>0</v>
      </c>
      <c r="AD114" s="101">
        <v>1.4113333333333333</v>
      </c>
      <c r="AE114" s="101">
        <v>3.3526666666666669</v>
      </c>
      <c r="AF114" s="101">
        <v>4.8413333333333339</v>
      </c>
      <c r="AG114" s="101">
        <v>5.0840000000000005</v>
      </c>
      <c r="AH114" s="101">
        <v>4.6606666666666667</v>
      </c>
      <c r="AI114" s="101">
        <v>4.5866666666666669</v>
      </c>
      <c r="AJ114" s="101">
        <v>3.8079999999999998</v>
      </c>
      <c r="AK114" s="101">
        <v>2.8146666666666667</v>
      </c>
      <c r="AL114" s="101">
        <v>1.8360000000000001</v>
      </c>
      <c r="AM114" s="101">
        <v>0.77533333333333332</v>
      </c>
      <c r="AN114" s="101">
        <v>0</v>
      </c>
      <c r="AO114" s="100">
        <v>0</v>
      </c>
      <c r="AP114" s="100">
        <v>1.4</v>
      </c>
      <c r="AQ114" s="100">
        <v>3.11</v>
      </c>
      <c r="AR114" s="100">
        <v>4.2</v>
      </c>
      <c r="AS114" s="100">
        <v>4.21</v>
      </c>
      <c r="AT114" s="100">
        <v>3.72</v>
      </c>
      <c r="AU114" s="100">
        <v>3.76</v>
      </c>
      <c r="AV114" s="100">
        <v>3.24</v>
      </c>
      <c r="AW114" s="100">
        <v>2.52</v>
      </c>
      <c r="AX114" s="100">
        <v>1.77</v>
      </c>
      <c r="AY114" s="100">
        <v>0.81</v>
      </c>
      <c r="AZ114" s="100">
        <v>0</v>
      </c>
    </row>
    <row r="115" spans="2:53">
      <c r="B115" s="46" t="s">
        <v>245</v>
      </c>
      <c r="C115" s="46" t="s">
        <v>530</v>
      </c>
      <c r="D115" s="46" t="s">
        <v>531</v>
      </c>
      <c r="E115" s="96">
        <v>0.16</v>
      </c>
      <c r="F115" s="96">
        <v>0.81</v>
      </c>
      <c r="G115" s="96">
        <v>2.25</v>
      </c>
      <c r="H115" s="96">
        <v>4.08</v>
      </c>
      <c r="I115" s="96">
        <v>5.25</v>
      </c>
      <c r="J115" s="96">
        <v>5.56</v>
      </c>
      <c r="K115" s="96">
        <v>5.44</v>
      </c>
      <c r="L115" s="96">
        <v>3.73</v>
      </c>
      <c r="M115" s="96">
        <v>2.25</v>
      </c>
      <c r="N115" s="96">
        <v>1.03</v>
      </c>
      <c r="O115" s="96">
        <v>0.25</v>
      </c>
      <c r="P115" s="96">
        <v>0</v>
      </c>
      <c r="Q115" s="102">
        <v>0.57632653061224492</v>
      </c>
      <c r="R115" s="102">
        <v>1.5691836734693878</v>
      </c>
      <c r="S115" s="102">
        <v>3.3193877551020408</v>
      </c>
      <c r="T115" s="102">
        <v>4.8718367346938773</v>
      </c>
      <c r="U115" s="102">
        <v>5.2744897959183676</v>
      </c>
      <c r="V115" s="102">
        <v>5.2579591836734698</v>
      </c>
      <c r="W115" s="102">
        <v>5.2604081632653061</v>
      </c>
      <c r="X115" s="102">
        <v>3.9585714285714282</v>
      </c>
      <c r="Y115" s="102">
        <v>2.9193877551020408</v>
      </c>
      <c r="Z115" s="102">
        <v>1.7320408163265306</v>
      </c>
      <c r="AA115" s="102">
        <v>0.65816326530612246</v>
      </c>
      <c r="AB115" s="102">
        <v>0</v>
      </c>
      <c r="AC115" s="101">
        <v>0.76600000000000001</v>
      </c>
      <c r="AD115" s="101">
        <v>1.85</v>
      </c>
      <c r="AE115" s="101">
        <v>3.54</v>
      </c>
      <c r="AF115" s="101">
        <v>4.6539999999999999</v>
      </c>
      <c r="AG115" s="101">
        <v>4.6219999999999999</v>
      </c>
      <c r="AH115" s="101">
        <v>4.4359999999999999</v>
      </c>
      <c r="AI115" s="101">
        <v>4.5040000000000004</v>
      </c>
      <c r="AJ115" s="101">
        <v>3.5680000000000001</v>
      </c>
      <c r="AK115" s="101">
        <v>2.94</v>
      </c>
      <c r="AL115" s="101">
        <v>1.948</v>
      </c>
      <c r="AM115" s="101">
        <v>0.82799999999999996</v>
      </c>
      <c r="AN115" s="101">
        <v>0</v>
      </c>
      <c r="AO115" s="100">
        <v>0.78</v>
      </c>
      <c r="AP115" s="100">
        <v>1.79</v>
      </c>
      <c r="AQ115" s="100">
        <v>3.23</v>
      </c>
      <c r="AR115" s="100">
        <v>3.96</v>
      </c>
      <c r="AS115" s="100">
        <v>3.75</v>
      </c>
      <c r="AT115" s="100">
        <v>3.52</v>
      </c>
      <c r="AU115" s="100">
        <v>3.62</v>
      </c>
      <c r="AV115" s="100">
        <v>2.97</v>
      </c>
      <c r="AW115" s="100">
        <v>2.59</v>
      </c>
      <c r="AX115" s="100">
        <v>1.84</v>
      </c>
      <c r="AY115" s="100">
        <v>0.83</v>
      </c>
      <c r="AZ115" s="100">
        <v>0</v>
      </c>
    </row>
    <row r="116" spans="2:53">
      <c r="B116" s="46" t="s">
        <v>246</v>
      </c>
      <c r="C116" s="46" t="s">
        <v>532</v>
      </c>
      <c r="D116" s="46" t="s">
        <v>533</v>
      </c>
      <c r="E116" s="96">
        <v>1.43</v>
      </c>
      <c r="F116" s="96">
        <v>2.41</v>
      </c>
      <c r="G116" s="96">
        <v>3.52</v>
      </c>
      <c r="H116" s="96">
        <v>4.53</v>
      </c>
      <c r="I116" s="96">
        <v>5.18</v>
      </c>
      <c r="J116" s="96">
        <v>5.21</v>
      </c>
      <c r="K116" s="96">
        <v>4.51</v>
      </c>
      <c r="L116" s="96">
        <v>3.91</v>
      </c>
      <c r="M116" s="96">
        <v>3.47</v>
      </c>
      <c r="N116" s="96">
        <v>2.41</v>
      </c>
      <c r="O116" s="96">
        <v>1.39</v>
      </c>
      <c r="P116" s="96">
        <v>1.04</v>
      </c>
      <c r="Q116" s="102">
        <v>2.2999999999999998</v>
      </c>
      <c r="R116" s="102">
        <v>3.4659999999999997</v>
      </c>
      <c r="S116" s="102">
        <v>4.3159999999999998</v>
      </c>
      <c r="T116" s="102">
        <v>4.7879999999999994</v>
      </c>
      <c r="U116" s="102">
        <v>4.9539999999999997</v>
      </c>
      <c r="V116" s="102">
        <v>4.7060000000000004</v>
      </c>
      <c r="W116" s="102">
        <v>4.1500000000000004</v>
      </c>
      <c r="X116" s="102">
        <v>3.8780000000000001</v>
      </c>
      <c r="Y116" s="102">
        <v>3.9980000000000002</v>
      </c>
      <c r="Z116" s="102">
        <v>3.28</v>
      </c>
      <c r="AA116" s="102">
        <v>2.1160000000000001</v>
      </c>
      <c r="AB116" s="102">
        <v>1.67</v>
      </c>
      <c r="AC116" s="101">
        <v>2.4048275862068964</v>
      </c>
      <c r="AD116" s="101">
        <v>3.4241379310344828</v>
      </c>
      <c r="AE116" s="101">
        <v>3.9162068965517243</v>
      </c>
      <c r="AF116" s="101">
        <v>3.9482758620689657</v>
      </c>
      <c r="AG116" s="101">
        <v>3.7862068965517244</v>
      </c>
      <c r="AH116" s="101">
        <v>3.5141379310344831</v>
      </c>
      <c r="AI116" s="101">
        <v>3.1593103448275861</v>
      </c>
      <c r="AJ116" s="101">
        <v>3.1103448275862071</v>
      </c>
      <c r="AK116" s="101">
        <v>3.4937931034482759</v>
      </c>
      <c r="AL116" s="101">
        <v>3.1517241379310343</v>
      </c>
      <c r="AM116" s="101">
        <v>2.1586206896551725</v>
      </c>
      <c r="AN116" s="101">
        <v>1.7434482758620689</v>
      </c>
      <c r="AO116" s="100">
        <v>2.2599999999999998</v>
      </c>
      <c r="AP116" s="100">
        <v>3.1</v>
      </c>
      <c r="AQ116" s="100">
        <v>3.33</v>
      </c>
      <c r="AR116" s="100">
        <v>3.1</v>
      </c>
      <c r="AS116" s="100">
        <v>2.8</v>
      </c>
      <c r="AT116" s="100">
        <v>2.59</v>
      </c>
      <c r="AU116" s="100">
        <v>2.38</v>
      </c>
      <c r="AV116" s="100">
        <v>2.4</v>
      </c>
      <c r="AW116" s="100">
        <v>2.88</v>
      </c>
      <c r="AX116" s="100">
        <v>2.8</v>
      </c>
      <c r="AY116" s="100">
        <v>2</v>
      </c>
      <c r="AZ116" s="100">
        <v>1.64</v>
      </c>
    </row>
    <row r="117" spans="2:53">
      <c r="B117" s="46" t="s">
        <v>247</v>
      </c>
      <c r="C117" s="46" t="s">
        <v>534</v>
      </c>
      <c r="D117" s="46" t="s">
        <v>535</v>
      </c>
      <c r="E117" s="96">
        <v>0.45</v>
      </c>
      <c r="F117" s="96">
        <v>1.3</v>
      </c>
      <c r="G117" s="96">
        <v>2.87</v>
      </c>
      <c r="H117" s="96">
        <v>4.49</v>
      </c>
      <c r="I117" s="96">
        <v>5.39</v>
      </c>
      <c r="J117" s="96">
        <v>5.72</v>
      </c>
      <c r="K117" s="96">
        <v>4.93</v>
      </c>
      <c r="L117" s="96">
        <v>4.1500000000000004</v>
      </c>
      <c r="M117" s="96">
        <v>2.78</v>
      </c>
      <c r="N117" s="96">
        <v>1.63</v>
      </c>
      <c r="O117" s="96">
        <v>0.66</v>
      </c>
      <c r="P117" s="96">
        <v>0.28000000000000003</v>
      </c>
      <c r="Q117" s="102">
        <v>1.05</v>
      </c>
      <c r="R117" s="102">
        <v>2.2636363636363637</v>
      </c>
      <c r="S117" s="102">
        <v>4.07</v>
      </c>
      <c r="T117" s="102">
        <v>5.2990909090909089</v>
      </c>
      <c r="U117" s="102">
        <v>5.417272727272727</v>
      </c>
      <c r="V117" s="102">
        <v>5.3927272727272726</v>
      </c>
      <c r="W117" s="102">
        <v>4.7390909090909092</v>
      </c>
      <c r="X117" s="102">
        <v>4.4227272727272728</v>
      </c>
      <c r="Y117" s="102">
        <v>3.58</v>
      </c>
      <c r="Z117" s="102">
        <v>2.602727272727273</v>
      </c>
      <c r="AA117" s="102">
        <v>1.4054545454545453</v>
      </c>
      <c r="AB117" s="102">
        <v>0.74363636363636365</v>
      </c>
      <c r="AC117" s="101">
        <v>1.2666666666666666</v>
      </c>
      <c r="AD117" s="101">
        <v>2.5</v>
      </c>
      <c r="AE117" s="101">
        <v>4.1226666666666665</v>
      </c>
      <c r="AF117" s="101">
        <v>4.8226666666666667</v>
      </c>
      <c r="AG117" s="101">
        <v>4.532</v>
      </c>
      <c r="AH117" s="101">
        <v>4.3853333333333335</v>
      </c>
      <c r="AI117" s="101">
        <v>3.9186666666666667</v>
      </c>
      <c r="AJ117" s="101">
        <v>3.8620000000000001</v>
      </c>
      <c r="AK117" s="101">
        <v>3.4486666666666665</v>
      </c>
      <c r="AL117" s="101">
        <v>2.7879999999999998</v>
      </c>
      <c r="AM117" s="101">
        <v>1.6493333333333333</v>
      </c>
      <c r="AN117" s="101">
        <v>0.90933333333333333</v>
      </c>
      <c r="AO117" s="100">
        <v>1.25</v>
      </c>
      <c r="AP117" s="100">
        <v>2.36</v>
      </c>
      <c r="AQ117" s="100">
        <v>3.67</v>
      </c>
      <c r="AR117" s="100">
        <v>4</v>
      </c>
      <c r="AS117" s="100">
        <v>3.57</v>
      </c>
      <c r="AT117" s="100">
        <v>3.38</v>
      </c>
      <c r="AU117" s="100">
        <v>3.06</v>
      </c>
      <c r="AV117" s="100">
        <v>3.13</v>
      </c>
      <c r="AW117" s="100">
        <v>2.98</v>
      </c>
      <c r="AX117" s="100">
        <v>2.58</v>
      </c>
      <c r="AY117" s="100">
        <v>1.61</v>
      </c>
      <c r="AZ117" s="100">
        <v>0.91</v>
      </c>
    </row>
    <row r="118" spans="2:53">
      <c r="B118" s="46" t="s">
        <v>248</v>
      </c>
      <c r="C118" s="46" t="s">
        <v>536</v>
      </c>
      <c r="D118" s="46" t="s">
        <v>537</v>
      </c>
      <c r="E118" s="96">
        <v>1.23</v>
      </c>
      <c r="F118" s="96">
        <v>2.2599999999999998</v>
      </c>
      <c r="G118" s="96">
        <v>3.74</v>
      </c>
      <c r="H118" s="96">
        <v>4.95</v>
      </c>
      <c r="I118" s="96">
        <v>5.76</v>
      </c>
      <c r="J118" s="96">
        <v>5.85</v>
      </c>
      <c r="K118" s="96">
        <v>5.38</v>
      </c>
      <c r="L118" s="96">
        <v>4.7699999999999996</v>
      </c>
      <c r="M118" s="96">
        <v>3.61</v>
      </c>
      <c r="N118" s="96">
        <v>2.42</v>
      </c>
      <c r="O118" s="96">
        <v>1.37</v>
      </c>
      <c r="P118" s="96">
        <v>0.94</v>
      </c>
      <c r="Q118" s="102">
        <v>2.2160000000000002</v>
      </c>
      <c r="R118" s="102">
        <v>3.5413333333333332</v>
      </c>
      <c r="S118" s="102">
        <v>4.921333333333334</v>
      </c>
      <c r="T118" s="102">
        <v>5.5266666666666664</v>
      </c>
      <c r="U118" s="102">
        <v>5.6253333333333337</v>
      </c>
      <c r="V118" s="102">
        <v>5.4286666666666665</v>
      </c>
      <c r="W118" s="102">
        <v>5.09</v>
      </c>
      <c r="X118" s="102">
        <v>5.0053333333333336</v>
      </c>
      <c r="Y118" s="102">
        <v>4.4046666666666665</v>
      </c>
      <c r="Z118" s="102">
        <v>3.5426666666666669</v>
      </c>
      <c r="AA118" s="102">
        <v>2.3433333333333333</v>
      </c>
      <c r="AB118" s="102">
        <v>1.7806666666666666</v>
      </c>
      <c r="AC118" s="101">
        <v>2.4266666666666667</v>
      </c>
      <c r="AD118" s="101">
        <v>3.6683333333333334</v>
      </c>
      <c r="AE118" s="101">
        <v>4.6716666666666669</v>
      </c>
      <c r="AF118" s="101">
        <v>4.7300000000000004</v>
      </c>
      <c r="AG118" s="101">
        <v>4.4249999999999998</v>
      </c>
      <c r="AH118" s="101">
        <v>4.1800000000000006</v>
      </c>
      <c r="AI118" s="101">
        <v>3.9883333333333337</v>
      </c>
      <c r="AJ118" s="101">
        <v>4.1183333333333332</v>
      </c>
      <c r="AK118" s="101">
        <v>4.0183333333333335</v>
      </c>
      <c r="AL118" s="101">
        <v>3.5566666666666666</v>
      </c>
      <c r="AM118" s="101">
        <v>2.52</v>
      </c>
      <c r="AN118" s="101">
        <v>1.9949999999999999</v>
      </c>
      <c r="AO118" s="100">
        <v>2.31</v>
      </c>
      <c r="AP118" s="100">
        <v>3.36</v>
      </c>
      <c r="AQ118" s="100">
        <v>4.03</v>
      </c>
      <c r="AR118" s="100">
        <v>3.78</v>
      </c>
      <c r="AS118" s="100">
        <v>3.35</v>
      </c>
      <c r="AT118" s="100">
        <v>3.08</v>
      </c>
      <c r="AU118" s="100">
        <v>2.98</v>
      </c>
      <c r="AV118" s="100">
        <v>3.21</v>
      </c>
      <c r="AW118" s="100">
        <v>3.36</v>
      </c>
      <c r="AX118" s="100">
        <v>3.19</v>
      </c>
      <c r="AY118" s="100">
        <v>2.37</v>
      </c>
      <c r="AZ118" s="100">
        <v>1.92</v>
      </c>
    </row>
    <row r="119" spans="2:53">
      <c r="B119" s="46" t="s">
        <v>249</v>
      </c>
      <c r="C119" s="46" t="s">
        <v>538</v>
      </c>
      <c r="D119" s="46" t="s">
        <v>539</v>
      </c>
      <c r="E119" s="96">
        <v>0.96</v>
      </c>
      <c r="F119" s="96">
        <v>1.82</v>
      </c>
      <c r="G119" s="96">
        <v>3.34</v>
      </c>
      <c r="H119" s="96">
        <v>4.63</v>
      </c>
      <c r="I119" s="96">
        <v>5.96</v>
      </c>
      <c r="J119" s="96">
        <v>6.53</v>
      </c>
      <c r="K119" s="96">
        <v>6.09</v>
      </c>
      <c r="L119" s="96">
        <v>5.0599999999999996</v>
      </c>
      <c r="M119" s="96">
        <v>3.67</v>
      </c>
      <c r="N119" s="96">
        <v>2.1800000000000002</v>
      </c>
      <c r="O119" s="96">
        <v>1.2</v>
      </c>
      <c r="P119" s="96">
        <v>0.81</v>
      </c>
      <c r="Q119" s="102">
        <v>1.6373333333333333</v>
      </c>
      <c r="R119" s="102">
        <v>2.74</v>
      </c>
      <c r="S119" s="102">
        <v>4.3033333333333337</v>
      </c>
      <c r="T119" s="102">
        <v>5.1166666666666663</v>
      </c>
      <c r="U119" s="102">
        <v>5.82</v>
      </c>
      <c r="V119" s="102">
        <v>6.0426666666666673</v>
      </c>
      <c r="W119" s="102">
        <v>5.7640000000000002</v>
      </c>
      <c r="X119" s="102">
        <v>5.34</v>
      </c>
      <c r="Y119" s="102">
        <v>4.4746666666666668</v>
      </c>
      <c r="Z119" s="102">
        <v>3.1273333333333331</v>
      </c>
      <c r="AA119" s="102">
        <v>2.0026666666666668</v>
      </c>
      <c r="AB119" s="102">
        <v>1.49</v>
      </c>
      <c r="AC119" s="101">
        <v>1.7616666666666667</v>
      </c>
      <c r="AD119" s="101">
        <v>2.8</v>
      </c>
      <c r="AE119" s="101">
        <v>4.0566666666666666</v>
      </c>
      <c r="AF119" s="101">
        <v>4.3633333333333333</v>
      </c>
      <c r="AG119" s="101">
        <v>4.5649999999999995</v>
      </c>
      <c r="AH119" s="101">
        <v>4.6100000000000003</v>
      </c>
      <c r="AI119" s="101">
        <v>4.4749999999999996</v>
      </c>
      <c r="AJ119" s="101">
        <v>4.3916666666666666</v>
      </c>
      <c r="AK119" s="101">
        <v>4.0750000000000002</v>
      </c>
      <c r="AL119" s="101">
        <v>3.125</v>
      </c>
      <c r="AM119" s="101">
        <v>2.1333333333333333</v>
      </c>
      <c r="AN119" s="101">
        <v>1.6466666666666665</v>
      </c>
      <c r="AO119" s="100">
        <v>1.67</v>
      </c>
      <c r="AP119" s="100">
        <v>2.5499999999999998</v>
      </c>
      <c r="AQ119" s="100">
        <v>3.49</v>
      </c>
      <c r="AR119" s="100">
        <v>3.48</v>
      </c>
      <c r="AS119" s="100">
        <v>3.44</v>
      </c>
      <c r="AT119" s="100">
        <v>3.36</v>
      </c>
      <c r="AU119" s="100">
        <v>3.3</v>
      </c>
      <c r="AV119" s="100">
        <v>3.4</v>
      </c>
      <c r="AW119" s="100">
        <v>3.4</v>
      </c>
      <c r="AX119" s="100">
        <v>2.8</v>
      </c>
      <c r="AY119" s="100">
        <v>2</v>
      </c>
      <c r="AZ119" s="100">
        <v>1.58</v>
      </c>
    </row>
    <row r="120" spans="2:53">
      <c r="B120" s="46" t="s">
        <v>250</v>
      </c>
      <c r="C120" s="46" t="s">
        <v>540</v>
      </c>
      <c r="D120" s="46" t="s">
        <v>541</v>
      </c>
      <c r="E120" s="103">
        <v>0.8</v>
      </c>
      <c r="F120" s="103">
        <v>1.66</v>
      </c>
      <c r="G120" s="103">
        <v>3.29</v>
      </c>
      <c r="H120" s="103">
        <v>4.59</v>
      </c>
      <c r="I120" s="103">
        <v>5.62</v>
      </c>
      <c r="J120" s="103">
        <v>6.34</v>
      </c>
      <c r="K120" s="103">
        <v>5.89</v>
      </c>
      <c r="L120" s="103">
        <v>4.79</v>
      </c>
      <c r="M120" s="103">
        <v>3.41</v>
      </c>
      <c r="N120" s="103">
        <v>1.98</v>
      </c>
      <c r="O120" s="103">
        <v>1.0900000000000001</v>
      </c>
      <c r="P120" s="103">
        <v>0.69</v>
      </c>
      <c r="Q120" s="104">
        <v>1.4259999999999999</v>
      </c>
      <c r="R120" s="104">
        <v>2.5786666666666669</v>
      </c>
      <c r="S120" s="104">
        <v>4.3579999999999997</v>
      </c>
      <c r="T120" s="104">
        <v>5.1733333333333338</v>
      </c>
      <c r="U120" s="104">
        <v>5.5426666666666664</v>
      </c>
      <c r="V120" s="104">
        <v>5.9513333333333334</v>
      </c>
      <c r="W120" s="104">
        <v>5.6420000000000003</v>
      </c>
      <c r="X120" s="104">
        <v>5.1113333333333335</v>
      </c>
      <c r="Y120" s="104">
        <v>4.226</v>
      </c>
      <c r="Z120" s="104">
        <v>2.9060000000000001</v>
      </c>
      <c r="AA120" s="104">
        <v>1.9013333333333333</v>
      </c>
      <c r="AB120" s="104">
        <v>1.36</v>
      </c>
      <c r="AC120" s="105">
        <v>1.4981818181818183</v>
      </c>
      <c r="AD120" s="105">
        <v>2.4736363636363636</v>
      </c>
      <c r="AE120" s="105">
        <v>3.6763636363636363</v>
      </c>
      <c r="AF120" s="105">
        <v>3.6781818181818182</v>
      </c>
      <c r="AG120" s="105">
        <v>3.478181818181818</v>
      </c>
      <c r="AH120" s="105">
        <v>3.52</v>
      </c>
      <c r="AI120" s="105">
        <v>3.4318181818181817</v>
      </c>
      <c r="AJ120" s="105">
        <v>3.4227272727272728</v>
      </c>
      <c r="AK120" s="105">
        <v>3.3327272727272725</v>
      </c>
      <c r="AL120" s="105">
        <v>2.67</v>
      </c>
      <c r="AM120" s="105">
        <v>1.9627272727272727</v>
      </c>
      <c r="AN120" s="105">
        <v>1.4954545454545454</v>
      </c>
      <c r="AO120" s="100">
        <v>1.49</v>
      </c>
      <c r="AP120" s="100">
        <v>2.4500000000000002</v>
      </c>
      <c r="AQ120" s="100">
        <v>3.62</v>
      </c>
      <c r="AR120" s="100">
        <v>3.59</v>
      </c>
      <c r="AS120" s="100">
        <v>3.37</v>
      </c>
      <c r="AT120" s="100">
        <v>3.4</v>
      </c>
      <c r="AU120" s="100">
        <v>3.32</v>
      </c>
      <c r="AV120" s="100">
        <v>3.33</v>
      </c>
      <c r="AW120" s="100">
        <v>3.27</v>
      </c>
      <c r="AX120" s="100">
        <v>2.64</v>
      </c>
      <c r="AY120" s="100">
        <v>1.95</v>
      </c>
      <c r="AZ120" s="100">
        <v>1.49</v>
      </c>
    </row>
    <row r="121" spans="2:53">
      <c r="B121" s="46" t="s">
        <v>251</v>
      </c>
      <c r="C121" s="46" t="s">
        <v>478</v>
      </c>
      <c r="D121" s="46" t="s">
        <v>542</v>
      </c>
      <c r="E121" s="103">
        <v>1.03</v>
      </c>
      <c r="F121" s="103">
        <v>1.94</v>
      </c>
      <c r="G121" s="103">
        <v>3.45</v>
      </c>
      <c r="H121" s="103">
        <v>4.66</v>
      </c>
      <c r="I121" s="103">
        <v>6.05</v>
      </c>
      <c r="J121" s="103">
        <v>6.55</v>
      </c>
      <c r="K121" s="103">
        <v>6.24</v>
      </c>
      <c r="L121" s="103">
        <v>5.26</v>
      </c>
      <c r="M121" s="103">
        <v>3.86</v>
      </c>
      <c r="N121" s="103">
        <v>2.25</v>
      </c>
      <c r="O121" s="103">
        <v>1.26</v>
      </c>
      <c r="P121" s="103">
        <v>0.83</v>
      </c>
      <c r="Q121" s="104">
        <v>1.7266666666666666</v>
      </c>
      <c r="R121" s="104">
        <v>2.9033333333333333</v>
      </c>
      <c r="S121" s="104">
        <v>4.42</v>
      </c>
      <c r="T121" s="104">
        <v>5.1066666666666665</v>
      </c>
      <c r="U121" s="104">
        <v>5.88</v>
      </c>
      <c r="V121" s="104">
        <v>6.0266666666666664</v>
      </c>
      <c r="W121" s="104">
        <v>5.87</v>
      </c>
      <c r="X121" s="104">
        <v>5.53</v>
      </c>
      <c r="Y121" s="104">
        <v>4.6933333333333334</v>
      </c>
      <c r="Z121" s="104">
        <v>3.2033333333333336</v>
      </c>
      <c r="AA121" s="104">
        <v>2.0666666666666664</v>
      </c>
      <c r="AB121" s="104">
        <v>1.4566666666666666</v>
      </c>
      <c r="AC121" s="105">
        <v>1.8440000000000001</v>
      </c>
      <c r="AD121" s="105">
        <v>2.944</v>
      </c>
      <c r="AE121" s="105">
        <v>4.1440000000000001</v>
      </c>
      <c r="AF121" s="105">
        <v>4.3279999999999994</v>
      </c>
      <c r="AG121" s="105">
        <v>4.5819999999999999</v>
      </c>
      <c r="AH121" s="105">
        <v>4.5739999999999998</v>
      </c>
      <c r="AI121" s="105">
        <v>4.4799999999999995</v>
      </c>
      <c r="AJ121" s="105">
        <v>4.5119999999999996</v>
      </c>
      <c r="AK121" s="105">
        <v>4.2519999999999998</v>
      </c>
      <c r="AL121" s="105">
        <v>3.1759999999999997</v>
      </c>
      <c r="AM121" s="105">
        <v>2.1960000000000002</v>
      </c>
      <c r="AN121" s="105">
        <v>1.59</v>
      </c>
      <c r="AO121" s="100">
        <v>1.74</v>
      </c>
      <c r="AP121" s="100">
        <v>2.68</v>
      </c>
      <c r="AQ121" s="100">
        <v>3.56</v>
      </c>
      <c r="AR121" s="100">
        <v>3.44</v>
      </c>
      <c r="AS121" s="100">
        <v>3.43</v>
      </c>
      <c r="AT121" s="100">
        <v>3.31</v>
      </c>
      <c r="AU121" s="100">
        <v>3.32</v>
      </c>
      <c r="AV121" s="100">
        <v>3.48</v>
      </c>
      <c r="AW121" s="100">
        <v>3.54</v>
      </c>
      <c r="AX121" s="100">
        <v>2.84</v>
      </c>
      <c r="AY121" s="100">
        <v>2.06</v>
      </c>
      <c r="AZ121" s="100">
        <v>1.51</v>
      </c>
    </row>
    <row r="122" spans="2:53">
      <c r="B122" s="46" t="s">
        <v>252</v>
      </c>
      <c r="C122" s="106" t="s">
        <v>543</v>
      </c>
      <c r="D122" s="106" t="s">
        <v>544</v>
      </c>
      <c r="E122" s="51">
        <v>0.75</v>
      </c>
      <c r="F122" s="51">
        <v>1.57</v>
      </c>
      <c r="G122" s="51">
        <v>2.84</v>
      </c>
      <c r="H122" s="51">
        <v>3.89</v>
      </c>
      <c r="I122" s="51">
        <v>5.1100000000000003</v>
      </c>
      <c r="J122" s="51">
        <v>5.21</v>
      </c>
      <c r="K122" s="51">
        <v>5.13</v>
      </c>
      <c r="L122" s="51">
        <v>4.3</v>
      </c>
      <c r="M122" s="51">
        <v>2.68</v>
      </c>
      <c r="N122" s="51">
        <v>1.52</v>
      </c>
      <c r="O122" s="51">
        <v>0.82</v>
      </c>
      <c r="P122" s="51">
        <v>0.5</v>
      </c>
      <c r="Q122" s="104">
        <v>1.51</v>
      </c>
      <c r="R122" s="104">
        <v>2.5499999999999998</v>
      </c>
      <c r="S122" s="104">
        <v>3.78</v>
      </c>
      <c r="T122" s="104">
        <v>4.34</v>
      </c>
      <c r="U122" s="104">
        <v>5.12</v>
      </c>
      <c r="V122" s="104">
        <v>4.97</v>
      </c>
      <c r="W122" s="104">
        <v>5</v>
      </c>
      <c r="X122" s="104">
        <v>4.57</v>
      </c>
      <c r="Y122" s="104">
        <v>3.22</v>
      </c>
      <c r="Z122" s="104">
        <v>2.2000000000000002</v>
      </c>
      <c r="AA122" s="104">
        <v>1.46</v>
      </c>
      <c r="AB122" s="104">
        <v>1.08</v>
      </c>
      <c r="AC122" s="105">
        <v>1.72</v>
      </c>
      <c r="AD122" s="105">
        <v>2.71</v>
      </c>
      <c r="AE122" s="105">
        <v>3.67</v>
      </c>
      <c r="AF122" s="105">
        <v>3.79</v>
      </c>
      <c r="AG122" s="105">
        <v>4.18</v>
      </c>
      <c r="AH122" s="105">
        <v>3.95</v>
      </c>
      <c r="AI122" s="105">
        <v>4</v>
      </c>
      <c r="AJ122" s="105">
        <v>3.85</v>
      </c>
      <c r="AK122" s="105">
        <v>2.97</v>
      </c>
      <c r="AL122" s="105">
        <v>2.2400000000000002</v>
      </c>
      <c r="AM122" s="105">
        <v>1.62</v>
      </c>
      <c r="AN122" s="105">
        <v>1.26</v>
      </c>
      <c r="AO122" s="100">
        <v>1.65</v>
      </c>
      <c r="AP122" s="100">
        <v>2.5</v>
      </c>
      <c r="AQ122" s="100">
        <v>3.19</v>
      </c>
      <c r="AR122" s="100">
        <v>3.07</v>
      </c>
      <c r="AS122" s="100">
        <v>3.21</v>
      </c>
      <c r="AT122" s="100">
        <v>2.99</v>
      </c>
      <c r="AU122" s="100">
        <v>3.05</v>
      </c>
      <c r="AV122" s="100">
        <v>3.08</v>
      </c>
      <c r="AW122" s="100">
        <v>2.5099999999999998</v>
      </c>
      <c r="AX122" s="100">
        <v>2.02</v>
      </c>
      <c r="AY122" s="100">
        <v>1.53</v>
      </c>
      <c r="AZ122" s="100">
        <v>1.22</v>
      </c>
    </row>
    <row r="123" spans="2:53">
      <c r="B123" s="46" t="s">
        <v>256</v>
      </c>
      <c r="C123" s="46" t="s">
        <v>545</v>
      </c>
      <c r="D123" s="106" t="s">
        <v>546</v>
      </c>
      <c r="E123" s="51">
        <v>0.35</v>
      </c>
      <c r="F123" s="51">
        <v>1.06</v>
      </c>
      <c r="G123" s="51">
        <v>2.35</v>
      </c>
      <c r="H123" s="51">
        <v>3.91</v>
      </c>
      <c r="I123" s="51">
        <v>5.4</v>
      </c>
      <c r="J123" s="51">
        <v>5.84</v>
      </c>
      <c r="K123" s="51">
        <v>5.61</v>
      </c>
      <c r="L123" s="51">
        <v>4.38</v>
      </c>
      <c r="M123" s="51">
        <v>2.63</v>
      </c>
      <c r="N123" s="51">
        <v>1.24</v>
      </c>
      <c r="O123" s="51">
        <v>0.49</v>
      </c>
      <c r="P123" s="51">
        <v>0.2</v>
      </c>
      <c r="Q123" s="104">
        <v>0.96</v>
      </c>
      <c r="R123" s="104">
        <v>2.14</v>
      </c>
      <c r="S123" s="104">
        <v>3.44</v>
      </c>
      <c r="T123" s="104">
        <v>4.54</v>
      </c>
      <c r="U123" s="104">
        <v>5.26</v>
      </c>
      <c r="V123" s="104">
        <v>5.31</v>
      </c>
      <c r="W123" s="104">
        <v>5.17</v>
      </c>
      <c r="X123" s="104">
        <v>4.57</v>
      </c>
      <c r="Y123" s="104">
        <v>3.32</v>
      </c>
      <c r="Z123" s="104">
        <v>2.06</v>
      </c>
      <c r="AA123" s="104">
        <v>1.27</v>
      </c>
      <c r="AB123" s="104">
        <v>0.7</v>
      </c>
      <c r="AC123" s="105">
        <v>0.96</v>
      </c>
      <c r="AD123" s="105">
        <v>2.14</v>
      </c>
      <c r="AE123" s="105">
        <v>3.44</v>
      </c>
      <c r="AF123" s="105">
        <v>4.54</v>
      </c>
      <c r="AG123" s="105">
        <v>5.26</v>
      </c>
      <c r="AH123" s="105">
        <v>5.31</v>
      </c>
      <c r="AI123" s="105">
        <v>5.17</v>
      </c>
      <c r="AJ123" s="105">
        <v>4.57</v>
      </c>
      <c r="AK123" s="105">
        <v>3.32</v>
      </c>
      <c r="AL123" s="105">
        <v>2.06</v>
      </c>
      <c r="AM123" s="105">
        <v>1.27</v>
      </c>
      <c r="AN123" s="105">
        <v>0.7</v>
      </c>
      <c r="AO123" s="100">
        <v>1.06</v>
      </c>
      <c r="AP123" s="100">
        <v>2.14</v>
      </c>
      <c r="AQ123" s="100">
        <v>2.99</v>
      </c>
      <c r="AR123" s="100">
        <v>3.36</v>
      </c>
      <c r="AS123" s="100">
        <v>3.48</v>
      </c>
      <c r="AT123" s="100">
        <v>3.36</v>
      </c>
      <c r="AU123" s="100">
        <v>3.34</v>
      </c>
      <c r="AV123" s="100">
        <v>3.23</v>
      </c>
      <c r="AW123" s="100">
        <v>2.7</v>
      </c>
      <c r="AX123" s="100">
        <v>1.94</v>
      </c>
      <c r="AY123" s="100">
        <v>1.38</v>
      </c>
      <c r="AZ123" s="100">
        <v>0.81</v>
      </c>
    </row>
    <row r="124" spans="2:53">
      <c r="B124" s="46" t="s">
        <v>252</v>
      </c>
      <c r="C124" s="92" t="s">
        <v>253</v>
      </c>
      <c r="D124" s="92" t="s">
        <v>259</v>
      </c>
      <c r="E124" s="51">
        <v>0.75</v>
      </c>
      <c r="F124" s="51">
        <v>1.57</v>
      </c>
      <c r="G124" s="51">
        <v>2.84</v>
      </c>
      <c r="H124" s="51">
        <v>3.89</v>
      </c>
      <c r="I124" s="51">
        <v>5.1100000000000003</v>
      </c>
      <c r="J124" s="51">
        <v>5.21</v>
      </c>
      <c r="K124" s="51">
        <v>5.13</v>
      </c>
      <c r="L124" s="51">
        <v>4.3</v>
      </c>
      <c r="M124" s="51">
        <v>2.68</v>
      </c>
      <c r="N124" s="51">
        <v>1.52</v>
      </c>
      <c r="O124" s="51">
        <v>0.82</v>
      </c>
      <c r="P124" s="51">
        <v>0.5</v>
      </c>
      <c r="Q124" s="85">
        <v>1.51</v>
      </c>
      <c r="R124" s="93">
        <v>2.5499999999999998</v>
      </c>
      <c r="S124" s="93">
        <v>3.78</v>
      </c>
      <c r="T124" s="93">
        <v>4.34</v>
      </c>
      <c r="U124" s="93">
        <v>5.12</v>
      </c>
      <c r="V124" s="93">
        <v>4.97</v>
      </c>
      <c r="W124" s="93">
        <v>5</v>
      </c>
      <c r="X124" s="93">
        <v>4.57</v>
      </c>
      <c r="Y124" s="93">
        <v>3.22</v>
      </c>
      <c r="Z124" s="93">
        <v>2.2000000000000002</v>
      </c>
      <c r="AA124" s="93">
        <v>1.46</v>
      </c>
      <c r="AB124" s="93">
        <v>1.08</v>
      </c>
      <c r="AC124" s="94">
        <v>1.72</v>
      </c>
      <c r="AD124" s="94">
        <v>2.71</v>
      </c>
      <c r="AE124" s="94">
        <v>3.67</v>
      </c>
      <c r="AF124" s="94">
        <v>3.79</v>
      </c>
      <c r="AG124" s="94">
        <v>4.18</v>
      </c>
      <c r="AH124" s="94">
        <v>3.95</v>
      </c>
      <c r="AI124" s="94">
        <v>4</v>
      </c>
      <c r="AJ124" s="94">
        <v>3.85</v>
      </c>
      <c r="AK124" s="94">
        <v>2.97</v>
      </c>
      <c r="AL124" s="94">
        <v>2.2400000000000002</v>
      </c>
      <c r="AM124" s="94">
        <v>1.62</v>
      </c>
      <c r="AN124" s="94">
        <v>1.26</v>
      </c>
      <c r="AO124" s="95">
        <v>1.65</v>
      </c>
      <c r="AP124" s="95">
        <v>2.5</v>
      </c>
      <c r="AQ124" s="95">
        <v>3.19</v>
      </c>
      <c r="AR124" s="95">
        <v>3.07</v>
      </c>
      <c r="AS124" s="95">
        <v>3.21</v>
      </c>
      <c r="AT124" s="95">
        <v>2.99</v>
      </c>
      <c r="AU124" s="95">
        <v>3.05</v>
      </c>
      <c r="AV124" s="95">
        <v>3.08</v>
      </c>
      <c r="AW124" s="95">
        <v>2.5099999999999998</v>
      </c>
      <c r="AX124" s="95">
        <v>2.02</v>
      </c>
      <c r="AY124" s="95">
        <v>1.53</v>
      </c>
      <c r="AZ124" s="95">
        <v>1.22</v>
      </c>
      <c r="BA124" s="78"/>
    </row>
    <row r="125" spans="2:53">
      <c r="B125" s="46" t="s">
        <v>256</v>
      </c>
      <c r="C125" s="46" t="s">
        <v>257</v>
      </c>
      <c r="D125" s="46" t="s">
        <v>258</v>
      </c>
      <c r="E125" s="51">
        <v>0.35</v>
      </c>
      <c r="F125" s="51">
        <v>1.06</v>
      </c>
      <c r="G125" s="51">
        <v>2.35</v>
      </c>
      <c r="H125" s="51">
        <v>3.91</v>
      </c>
      <c r="I125" s="51">
        <v>5.4</v>
      </c>
      <c r="J125" s="51">
        <v>5.84</v>
      </c>
      <c r="K125" s="51">
        <v>5.61</v>
      </c>
      <c r="L125" s="51">
        <v>4.38</v>
      </c>
      <c r="M125" s="51">
        <v>2.63</v>
      </c>
      <c r="N125" s="51">
        <v>1.24</v>
      </c>
      <c r="O125" s="51">
        <v>0.49</v>
      </c>
      <c r="P125" s="51">
        <v>0.2</v>
      </c>
      <c r="Q125" s="85">
        <v>0.96</v>
      </c>
      <c r="R125" s="85">
        <v>2.14</v>
      </c>
      <c r="S125" s="85">
        <v>3.44</v>
      </c>
      <c r="T125" s="85">
        <v>4.54</v>
      </c>
      <c r="U125" s="85">
        <v>5.26</v>
      </c>
      <c r="V125" s="85">
        <v>5.31</v>
      </c>
      <c r="W125" s="85">
        <v>5.17</v>
      </c>
      <c r="X125" s="85">
        <v>4.57</v>
      </c>
      <c r="Y125" s="85">
        <v>3.32</v>
      </c>
      <c r="Z125" s="85">
        <v>2.06</v>
      </c>
      <c r="AA125" s="85">
        <v>1.27</v>
      </c>
      <c r="AB125" s="85">
        <v>0.7</v>
      </c>
      <c r="AC125" s="81">
        <v>0.96</v>
      </c>
      <c r="AD125" s="81">
        <v>2.14</v>
      </c>
      <c r="AE125" s="81">
        <v>3.44</v>
      </c>
      <c r="AF125" s="81">
        <v>4.54</v>
      </c>
      <c r="AG125" s="81">
        <v>5.26</v>
      </c>
      <c r="AH125" s="81">
        <v>5.31</v>
      </c>
      <c r="AI125" s="81">
        <v>5.17</v>
      </c>
      <c r="AJ125" s="81">
        <v>4.57</v>
      </c>
      <c r="AK125" s="81">
        <v>3.32</v>
      </c>
      <c r="AL125" s="81">
        <v>2.06</v>
      </c>
      <c r="AM125" s="81">
        <v>1.27</v>
      </c>
      <c r="AN125" s="81">
        <v>0.7</v>
      </c>
      <c r="AO125" s="88">
        <v>1.06</v>
      </c>
      <c r="AP125" s="88">
        <v>2.14</v>
      </c>
      <c r="AQ125" s="88">
        <v>2.99</v>
      </c>
      <c r="AR125" s="88">
        <v>3.36</v>
      </c>
      <c r="AS125" s="88">
        <v>3.48</v>
      </c>
      <c r="AT125" s="88">
        <v>3.36</v>
      </c>
      <c r="AU125" s="88">
        <v>3.34</v>
      </c>
      <c r="AV125" s="88">
        <v>3.23</v>
      </c>
      <c r="AW125" s="88">
        <v>2.7</v>
      </c>
      <c r="AX125" s="88">
        <v>1.94</v>
      </c>
      <c r="AY125" s="88">
        <v>1.38</v>
      </c>
      <c r="AZ125" s="88">
        <v>0.81</v>
      </c>
    </row>
    <row r="126" spans="2:53">
      <c r="B126" s="46"/>
      <c r="C126" s="46"/>
      <c r="D126" s="46"/>
      <c r="E126" s="51"/>
      <c r="F126" s="51"/>
      <c r="G126" s="51"/>
      <c r="H126" s="51"/>
      <c r="I126" s="51"/>
      <c r="J126" s="51"/>
      <c r="K126" s="51"/>
      <c r="L126" s="51"/>
      <c r="M126" s="51"/>
      <c r="N126" s="51"/>
      <c r="O126" s="51"/>
      <c r="P126" s="51"/>
      <c r="Q126" s="83"/>
      <c r="R126" s="83"/>
      <c r="S126" s="84"/>
      <c r="T126" s="84"/>
      <c r="U126" s="84"/>
      <c r="V126" s="84"/>
      <c r="W126" s="84"/>
      <c r="X126" s="84"/>
      <c r="Y126" s="84"/>
      <c r="Z126" s="84"/>
      <c r="AA126" s="84"/>
      <c r="AB126" s="84"/>
      <c r="AC126" s="80"/>
      <c r="AD126" s="80"/>
      <c r="AE126" s="80"/>
      <c r="AF126" s="80"/>
      <c r="AG126" s="80"/>
      <c r="AH126" s="80"/>
      <c r="AI126" s="80"/>
      <c r="AJ126" s="80"/>
      <c r="AK126" s="80"/>
      <c r="AL126" s="80"/>
      <c r="AM126" s="80"/>
      <c r="AN126" s="80"/>
      <c r="AO126" s="87"/>
      <c r="AP126" s="87"/>
      <c r="AQ126" s="87"/>
      <c r="AR126" s="87"/>
      <c r="AS126" s="87"/>
      <c r="AT126" s="87"/>
      <c r="AU126" s="87"/>
      <c r="AV126" s="87"/>
      <c r="AW126" s="87"/>
      <c r="AX126" s="87"/>
      <c r="AY126" s="87"/>
      <c r="AZ126" s="87"/>
    </row>
    <row r="127" spans="2:53">
      <c r="B127" s="46"/>
      <c r="C127" s="46"/>
      <c r="D127" s="46"/>
      <c r="E127" s="51"/>
      <c r="F127" s="51"/>
      <c r="G127" s="51"/>
      <c r="H127" s="51"/>
      <c r="I127" s="51"/>
      <c r="J127" s="51"/>
      <c r="K127" s="51"/>
      <c r="L127" s="51"/>
      <c r="M127" s="51"/>
      <c r="N127" s="51"/>
      <c r="O127" s="51"/>
      <c r="P127" s="51"/>
      <c r="Q127" s="83"/>
      <c r="R127" s="83"/>
      <c r="S127" s="84"/>
      <c r="T127" s="84"/>
      <c r="U127" s="84"/>
      <c r="V127" s="84"/>
      <c r="W127" s="84"/>
      <c r="X127" s="84"/>
      <c r="Y127" s="84"/>
      <c r="Z127" s="84"/>
      <c r="AA127" s="84"/>
      <c r="AB127" s="84"/>
      <c r="AC127" s="80"/>
      <c r="AD127" s="80"/>
      <c r="AE127" s="80"/>
      <c r="AF127" s="80"/>
      <c r="AG127" s="80"/>
      <c r="AH127" s="80"/>
      <c r="AI127" s="80"/>
      <c r="AJ127" s="80"/>
      <c r="AK127" s="80"/>
      <c r="AL127" s="80"/>
      <c r="AM127" s="80"/>
      <c r="AN127" s="80"/>
      <c r="AO127" s="87"/>
      <c r="AP127" s="87"/>
      <c r="AQ127" s="87"/>
      <c r="AR127" s="87"/>
      <c r="AS127" s="87"/>
      <c r="AT127" s="87"/>
      <c r="AU127" s="87"/>
      <c r="AV127" s="87"/>
      <c r="AW127" s="87"/>
      <c r="AX127" s="87"/>
      <c r="AY127" s="87"/>
      <c r="AZ127" s="87"/>
    </row>
    <row r="128" spans="2:53">
      <c r="B128" s="46"/>
      <c r="C128" s="46"/>
      <c r="D128" s="46"/>
      <c r="E128" s="51"/>
      <c r="F128" s="51"/>
      <c r="G128" s="51"/>
      <c r="H128" s="51"/>
      <c r="I128" s="51"/>
      <c r="J128" s="51"/>
      <c r="K128" s="51"/>
      <c r="L128" s="51"/>
      <c r="M128" s="51"/>
      <c r="N128" s="51"/>
      <c r="O128" s="51"/>
      <c r="P128" s="51"/>
      <c r="Q128" s="83"/>
      <c r="R128" s="83"/>
      <c r="S128" s="84"/>
      <c r="T128" s="84"/>
      <c r="U128" s="84"/>
      <c r="V128" s="84"/>
      <c r="W128" s="84"/>
      <c r="X128" s="84"/>
      <c r="Y128" s="84"/>
      <c r="Z128" s="84"/>
      <c r="AA128" s="84"/>
      <c r="AB128" s="84"/>
      <c r="AC128" s="80"/>
      <c r="AD128" s="80"/>
      <c r="AE128" s="80"/>
      <c r="AF128" s="80"/>
      <c r="AG128" s="80"/>
      <c r="AH128" s="80"/>
      <c r="AI128" s="80"/>
      <c r="AJ128" s="80"/>
      <c r="AK128" s="80"/>
      <c r="AL128" s="80"/>
      <c r="AM128" s="80"/>
      <c r="AN128" s="80"/>
      <c r="AO128" s="87"/>
      <c r="AP128" s="87"/>
      <c r="AQ128" s="87"/>
      <c r="AR128" s="87"/>
      <c r="AS128" s="87"/>
      <c r="AT128" s="87"/>
      <c r="AU128" s="87"/>
      <c r="AV128" s="87"/>
      <c r="AW128" s="87"/>
      <c r="AX128" s="87"/>
      <c r="AY128" s="87"/>
      <c r="AZ128" s="87"/>
    </row>
    <row r="129" spans="2:52">
      <c r="B129" s="46"/>
      <c r="C129" s="46"/>
      <c r="D129" s="46"/>
      <c r="E129" s="51"/>
      <c r="F129" s="51"/>
      <c r="G129" s="51"/>
      <c r="H129" s="51"/>
      <c r="I129" s="51"/>
      <c r="J129" s="51"/>
      <c r="K129" s="51"/>
      <c r="L129" s="51"/>
      <c r="M129" s="51"/>
      <c r="N129" s="51"/>
      <c r="O129" s="51"/>
      <c r="P129" s="51"/>
      <c r="Q129" s="83"/>
      <c r="R129" s="83"/>
      <c r="S129" s="84"/>
      <c r="T129" s="84"/>
      <c r="U129" s="84"/>
      <c r="V129" s="84"/>
      <c r="W129" s="84"/>
      <c r="X129" s="84"/>
      <c r="Y129" s="84"/>
      <c r="Z129" s="84"/>
      <c r="AA129" s="84"/>
      <c r="AB129" s="84"/>
      <c r="AC129" s="80"/>
      <c r="AD129" s="80"/>
      <c r="AE129" s="80"/>
      <c r="AF129" s="80"/>
      <c r="AG129" s="80"/>
      <c r="AH129" s="80"/>
      <c r="AI129" s="80"/>
      <c r="AJ129" s="80"/>
      <c r="AK129" s="80"/>
      <c r="AL129" s="80"/>
      <c r="AM129" s="80"/>
      <c r="AN129" s="80"/>
      <c r="AO129" s="87"/>
      <c r="AP129" s="87"/>
      <c r="AQ129" s="87"/>
      <c r="AR129" s="87"/>
      <c r="AS129" s="87"/>
      <c r="AT129" s="87"/>
      <c r="AU129" s="87"/>
      <c r="AV129" s="87"/>
      <c r="AW129" s="87"/>
      <c r="AX129" s="87"/>
      <c r="AY129" s="87"/>
      <c r="AZ129" s="87"/>
    </row>
    <row r="130" spans="2:52">
      <c r="B130" s="46"/>
      <c r="C130" s="46"/>
      <c r="D130" s="46"/>
      <c r="E130" s="51"/>
      <c r="F130" s="51"/>
      <c r="G130" s="51"/>
      <c r="H130" s="51"/>
      <c r="I130" s="51"/>
      <c r="J130" s="51"/>
      <c r="K130" s="51"/>
      <c r="L130" s="51"/>
      <c r="M130" s="51"/>
      <c r="N130" s="51"/>
      <c r="O130" s="51"/>
      <c r="P130" s="51"/>
      <c r="Q130" s="83"/>
      <c r="R130" s="83"/>
      <c r="S130" s="84"/>
      <c r="T130" s="84"/>
      <c r="U130" s="84"/>
      <c r="V130" s="84"/>
      <c r="W130" s="84"/>
      <c r="X130" s="84"/>
      <c r="Y130" s="84"/>
      <c r="Z130" s="84"/>
      <c r="AA130" s="84"/>
      <c r="AB130" s="84"/>
      <c r="AC130" s="80"/>
      <c r="AD130" s="80"/>
      <c r="AE130" s="80"/>
      <c r="AF130" s="80"/>
      <c r="AG130" s="80"/>
      <c r="AH130" s="80"/>
      <c r="AI130" s="80"/>
      <c r="AJ130" s="80"/>
      <c r="AK130" s="80"/>
      <c r="AL130" s="80"/>
      <c r="AM130" s="80"/>
      <c r="AN130" s="80"/>
      <c r="AO130" s="87"/>
      <c r="AP130" s="87"/>
      <c r="AQ130" s="87"/>
      <c r="AR130" s="87"/>
      <c r="AS130" s="87"/>
      <c r="AT130" s="87"/>
      <c r="AU130" s="87"/>
      <c r="AV130" s="87"/>
      <c r="AW130" s="87"/>
      <c r="AX130" s="87"/>
      <c r="AY130" s="87"/>
      <c r="AZ130" s="87"/>
    </row>
    <row r="131" spans="2:52">
      <c r="B131" s="46"/>
      <c r="C131" s="46"/>
      <c r="D131" s="46"/>
      <c r="E131" s="51"/>
      <c r="F131" s="51"/>
      <c r="G131" s="51"/>
      <c r="H131" s="51"/>
      <c r="I131" s="51"/>
      <c r="J131" s="51"/>
      <c r="K131" s="51"/>
      <c r="L131" s="51"/>
      <c r="M131" s="51"/>
      <c r="N131" s="51"/>
      <c r="O131" s="51"/>
      <c r="P131" s="51"/>
      <c r="Q131" s="83"/>
      <c r="R131" s="83"/>
      <c r="S131" s="84"/>
      <c r="T131" s="84"/>
      <c r="U131" s="84"/>
      <c r="V131" s="84"/>
      <c r="W131" s="84"/>
      <c r="X131" s="84"/>
      <c r="Y131" s="84"/>
      <c r="Z131" s="84"/>
      <c r="AA131" s="84"/>
      <c r="AB131" s="84"/>
      <c r="AC131" s="80"/>
      <c r="AD131" s="80"/>
      <c r="AE131" s="80"/>
      <c r="AF131" s="80"/>
      <c r="AG131" s="80"/>
      <c r="AH131" s="80"/>
      <c r="AI131" s="80"/>
      <c r="AJ131" s="80"/>
      <c r="AK131" s="80"/>
      <c r="AL131" s="80"/>
      <c r="AM131" s="80"/>
      <c r="AN131" s="80"/>
      <c r="AO131" s="87"/>
      <c r="AP131" s="87"/>
      <c r="AQ131" s="87"/>
      <c r="AR131" s="87"/>
      <c r="AS131" s="87"/>
      <c r="AT131" s="87"/>
      <c r="AU131" s="87"/>
      <c r="AV131" s="87"/>
      <c r="AW131" s="87"/>
      <c r="AX131" s="87"/>
      <c r="AY131" s="87"/>
      <c r="AZ131" s="87"/>
    </row>
    <row r="132" spans="2:52">
      <c r="B132" s="46"/>
      <c r="C132" s="46"/>
      <c r="D132" s="46"/>
      <c r="E132" s="51"/>
      <c r="F132" s="51"/>
      <c r="G132" s="51"/>
      <c r="H132" s="51"/>
      <c r="I132" s="51"/>
      <c r="J132" s="51"/>
      <c r="K132" s="51"/>
      <c r="L132" s="51"/>
      <c r="M132" s="51"/>
      <c r="N132" s="51"/>
      <c r="O132" s="51"/>
      <c r="P132" s="51"/>
      <c r="Q132" s="83"/>
      <c r="R132" s="83"/>
      <c r="S132" s="84"/>
      <c r="T132" s="84"/>
      <c r="U132" s="84"/>
      <c r="V132" s="84"/>
      <c r="W132" s="84"/>
      <c r="X132" s="84"/>
      <c r="Y132" s="84"/>
      <c r="Z132" s="84"/>
      <c r="AA132" s="84"/>
      <c r="AB132" s="84"/>
      <c r="AC132" s="80"/>
      <c r="AD132" s="80"/>
      <c r="AE132" s="80"/>
      <c r="AF132" s="80"/>
      <c r="AG132" s="80"/>
      <c r="AH132" s="80"/>
      <c r="AI132" s="80"/>
      <c r="AJ132" s="80"/>
      <c r="AK132" s="80"/>
      <c r="AL132" s="80"/>
      <c r="AM132" s="80"/>
      <c r="AN132" s="80"/>
      <c r="AO132" s="87"/>
      <c r="AP132" s="87"/>
      <c r="AQ132" s="87"/>
      <c r="AR132" s="87"/>
      <c r="AS132" s="87"/>
      <c r="AT132" s="87"/>
      <c r="AU132" s="87"/>
      <c r="AV132" s="87"/>
      <c r="AW132" s="87"/>
      <c r="AX132" s="87"/>
      <c r="AY132" s="87"/>
      <c r="AZ132" s="87"/>
    </row>
    <row r="133" spans="2:52">
      <c r="B133" s="46"/>
      <c r="C133" s="46"/>
      <c r="D133" s="46"/>
      <c r="E133" s="51"/>
      <c r="F133" s="51"/>
      <c r="G133" s="51"/>
      <c r="H133" s="51"/>
      <c r="I133" s="51"/>
      <c r="J133" s="51"/>
      <c r="K133" s="51"/>
      <c r="L133" s="51"/>
      <c r="M133" s="51"/>
      <c r="N133" s="51"/>
      <c r="O133" s="51"/>
      <c r="P133" s="51"/>
      <c r="Q133" s="83"/>
      <c r="R133" s="83"/>
      <c r="S133" s="84"/>
      <c r="T133" s="84"/>
      <c r="U133" s="84"/>
      <c r="V133" s="84"/>
      <c r="W133" s="84"/>
      <c r="X133" s="84"/>
      <c r="Y133" s="84"/>
      <c r="Z133" s="84"/>
      <c r="AA133" s="84"/>
      <c r="AB133" s="84"/>
      <c r="AC133" s="80"/>
      <c r="AD133" s="80"/>
      <c r="AE133" s="80"/>
      <c r="AF133" s="80"/>
      <c r="AG133" s="80"/>
      <c r="AH133" s="80"/>
      <c r="AI133" s="80"/>
      <c r="AJ133" s="80"/>
      <c r="AK133" s="80"/>
      <c r="AL133" s="80"/>
      <c r="AM133" s="80"/>
      <c r="AN133" s="80"/>
      <c r="AO133" s="87"/>
      <c r="AP133" s="87"/>
      <c r="AQ133" s="87"/>
      <c r="AR133" s="87"/>
      <c r="AS133" s="87"/>
      <c r="AT133" s="87"/>
      <c r="AU133" s="87"/>
      <c r="AV133" s="87"/>
      <c r="AW133" s="87"/>
      <c r="AX133" s="87"/>
      <c r="AY133" s="87"/>
      <c r="AZ133" s="87"/>
    </row>
    <row r="134" spans="2:52">
      <c r="B134" s="46"/>
      <c r="C134" s="46"/>
      <c r="D134" s="46"/>
      <c r="E134" s="51"/>
      <c r="F134" s="51"/>
      <c r="G134" s="51"/>
      <c r="H134" s="51"/>
      <c r="I134" s="51"/>
      <c r="J134" s="51"/>
      <c r="K134" s="51"/>
      <c r="L134" s="51"/>
      <c r="M134" s="51"/>
      <c r="N134" s="51"/>
      <c r="O134" s="51"/>
      <c r="P134" s="51"/>
      <c r="Q134" s="83"/>
      <c r="R134" s="83"/>
      <c r="S134" s="84"/>
      <c r="T134" s="84"/>
      <c r="U134" s="84"/>
      <c r="V134" s="84"/>
      <c r="W134" s="84"/>
      <c r="X134" s="84"/>
      <c r="Y134" s="84"/>
      <c r="Z134" s="84"/>
      <c r="AA134" s="84"/>
      <c r="AB134" s="84"/>
      <c r="AC134" s="80"/>
      <c r="AD134" s="80"/>
      <c r="AE134" s="80"/>
      <c r="AF134" s="80"/>
      <c r="AG134" s="80"/>
      <c r="AH134" s="80"/>
      <c r="AI134" s="80"/>
      <c r="AJ134" s="80"/>
      <c r="AK134" s="80"/>
      <c r="AL134" s="80"/>
      <c r="AM134" s="80"/>
      <c r="AN134" s="80"/>
      <c r="AO134" s="87"/>
      <c r="AP134" s="87"/>
      <c r="AQ134" s="87"/>
      <c r="AR134" s="87"/>
      <c r="AS134" s="87"/>
      <c r="AT134" s="87"/>
      <c r="AU134" s="87"/>
      <c r="AV134" s="87"/>
      <c r="AW134" s="87"/>
      <c r="AX134" s="87"/>
      <c r="AY134" s="87"/>
      <c r="AZ134" s="87"/>
    </row>
    <row r="135" spans="2:52">
      <c r="B135" s="46"/>
      <c r="C135" s="46"/>
      <c r="D135" s="46"/>
      <c r="E135" s="51"/>
      <c r="F135" s="51"/>
      <c r="G135" s="51"/>
      <c r="H135" s="51"/>
      <c r="I135" s="51"/>
      <c r="J135" s="51"/>
      <c r="K135" s="51"/>
      <c r="L135" s="51"/>
      <c r="M135" s="51"/>
      <c r="N135" s="51"/>
      <c r="O135" s="51"/>
      <c r="P135" s="51"/>
      <c r="Q135" s="83"/>
      <c r="R135" s="83"/>
      <c r="S135" s="84"/>
      <c r="T135" s="84"/>
      <c r="U135" s="84"/>
      <c r="V135" s="84"/>
      <c r="W135" s="84"/>
      <c r="X135" s="84"/>
      <c r="Y135" s="84"/>
      <c r="Z135" s="84"/>
      <c r="AA135" s="84"/>
      <c r="AB135" s="84"/>
      <c r="AC135" s="80"/>
      <c r="AD135" s="80"/>
      <c r="AE135" s="80"/>
      <c r="AF135" s="80"/>
      <c r="AG135" s="80"/>
      <c r="AH135" s="80"/>
      <c r="AI135" s="80"/>
      <c r="AJ135" s="80"/>
      <c r="AK135" s="80"/>
      <c r="AL135" s="80"/>
      <c r="AM135" s="80"/>
      <c r="AN135" s="80"/>
      <c r="AO135" s="87"/>
      <c r="AP135" s="87"/>
      <c r="AQ135" s="87"/>
      <c r="AR135" s="87"/>
      <c r="AS135" s="87"/>
      <c r="AT135" s="87"/>
      <c r="AU135" s="87"/>
      <c r="AV135" s="87"/>
      <c r="AW135" s="87"/>
      <c r="AX135" s="87"/>
      <c r="AY135" s="87"/>
      <c r="AZ135" s="87"/>
    </row>
    <row r="136" spans="2:52">
      <c r="B136" s="46"/>
      <c r="C136" s="46"/>
      <c r="D136" s="46"/>
      <c r="E136" s="51"/>
      <c r="F136" s="51"/>
      <c r="G136" s="51"/>
      <c r="H136" s="51"/>
      <c r="I136" s="51"/>
      <c r="J136" s="51"/>
      <c r="K136" s="51"/>
      <c r="L136" s="51"/>
      <c r="M136" s="51"/>
      <c r="N136" s="51"/>
      <c r="O136" s="51"/>
      <c r="P136" s="51"/>
      <c r="Q136" s="83"/>
      <c r="R136" s="83"/>
      <c r="S136" s="84"/>
      <c r="T136" s="84"/>
      <c r="U136" s="84"/>
      <c r="V136" s="84"/>
      <c r="W136" s="84"/>
      <c r="X136" s="84"/>
      <c r="Y136" s="84"/>
      <c r="Z136" s="84"/>
      <c r="AA136" s="84"/>
      <c r="AB136" s="84"/>
      <c r="AC136" s="80"/>
      <c r="AD136" s="80"/>
      <c r="AE136" s="80"/>
      <c r="AF136" s="80"/>
      <c r="AG136" s="80"/>
      <c r="AH136" s="80"/>
      <c r="AI136" s="80"/>
      <c r="AJ136" s="80"/>
      <c r="AK136" s="80"/>
      <c r="AL136" s="80"/>
      <c r="AM136" s="80"/>
      <c r="AN136" s="80"/>
      <c r="AO136" s="87"/>
      <c r="AP136" s="87"/>
      <c r="AQ136" s="87"/>
      <c r="AR136" s="87"/>
      <c r="AS136" s="87"/>
      <c r="AT136" s="87"/>
      <c r="AU136" s="87"/>
      <c r="AV136" s="87"/>
      <c r="AW136" s="87"/>
      <c r="AX136" s="87"/>
      <c r="AY136" s="87"/>
      <c r="AZ136" s="87"/>
    </row>
    <row r="137" spans="2:52">
      <c r="B137" s="46"/>
      <c r="C137" s="46"/>
      <c r="D137" s="46"/>
      <c r="E137" s="51"/>
      <c r="F137" s="51"/>
      <c r="G137" s="51"/>
      <c r="H137" s="51"/>
      <c r="I137" s="51"/>
      <c r="J137" s="51"/>
      <c r="K137" s="51"/>
      <c r="L137" s="51"/>
      <c r="M137" s="51"/>
      <c r="N137" s="51"/>
      <c r="O137" s="51"/>
      <c r="P137" s="51"/>
      <c r="Q137" s="83"/>
      <c r="R137" s="83"/>
      <c r="S137" s="84"/>
      <c r="T137" s="84"/>
      <c r="U137" s="84"/>
      <c r="V137" s="84"/>
      <c r="W137" s="84"/>
      <c r="X137" s="84"/>
      <c r="Y137" s="84"/>
      <c r="Z137" s="84"/>
      <c r="AA137" s="84"/>
      <c r="AB137" s="84"/>
      <c r="AC137" s="80"/>
      <c r="AD137" s="80"/>
      <c r="AE137" s="80"/>
      <c r="AF137" s="80"/>
      <c r="AG137" s="80"/>
      <c r="AH137" s="80"/>
      <c r="AI137" s="80"/>
      <c r="AJ137" s="80"/>
      <c r="AK137" s="80"/>
      <c r="AL137" s="80"/>
      <c r="AM137" s="80"/>
      <c r="AN137" s="80"/>
      <c r="AO137" s="87"/>
      <c r="AP137" s="87"/>
      <c r="AQ137" s="87"/>
      <c r="AR137" s="87"/>
      <c r="AS137" s="87"/>
      <c r="AT137" s="87"/>
      <c r="AU137" s="87"/>
      <c r="AV137" s="87"/>
      <c r="AW137" s="87"/>
      <c r="AX137" s="87"/>
      <c r="AY137" s="87"/>
      <c r="AZ137" s="87"/>
    </row>
    <row r="138" spans="2:52">
      <c r="B138" s="46"/>
      <c r="C138" s="46"/>
      <c r="D138" s="46"/>
      <c r="E138" s="51"/>
      <c r="F138" s="51"/>
      <c r="G138" s="51"/>
      <c r="H138" s="51"/>
      <c r="I138" s="51"/>
      <c r="J138" s="51"/>
      <c r="K138" s="51"/>
      <c r="L138" s="51"/>
      <c r="M138" s="51"/>
      <c r="N138" s="51"/>
      <c r="O138" s="51"/>
      <c r="P138" s="51"/>
      <c r="Q138" s="83"/>
      <c r="R138" s="83"/>
      <c r="S138" s="84"/>
      <c r="T138" s="84"/>
      <c r="U138" s="84"/>
      <c r="V138" s="84"/>
      <c r="W138" s="84"/>
      <c r="X138" s="84"/>
      <c r="Y138" s="84"/>
      <c r="Z138" s="84"/>
      <c r="AA138" s="84"/>
      <c r="AB138" s="84"/>
      <c r="AC138" s="80"/>
      <c r="AD138" s="80"/>
      <c r="AE138" s="80"/>
      <c r="AF138" s="80"/>
      <c r="AG138" s="80"/>
      <c r="AH138" s="80"/>
      <c r="AI138" s="80"/>
      <c r="AJ138" s="80"/>
      <c r="AK138" s="80"/>
      <c r="AL138" s="80"/>
      <c r="AM138" s="80"/>
      <c r="AN138" s="80"/>
      <c r="AO138" s="87"/>
      <c r="AP138" s="87"/>
      <c r="AQ138" s="87"/>
      <c r="AR138" s="87"/>
      <c r="AS138" s="87"/>
      <c r="AT138" s="87"/>
      <c r="AU138" s="87"/>
      <c r="AV138" s="87"/>
      <c r="AW138" s="87"/>
      <c r="AX138" s="87"/>
      <c r="AY138" s="87"/>
      <c r="AZ138" s="87"/>
    </row>
    <row r="139" spans="2:52">
      <c r="B139" s="46"/>
      <c r="C139" s="46"/>
      <c r="D139" s="46"/>
      <c r="E139" s="51"/>
      <c r="F139" s="51"/>
      <c r="G139" s="51"/>
      <c r="H139" s="51"/>
      <c r="I139" s="51"/>
      <c r="J139" s="51"/>
      <c r="K139" s="51"/>
      <c r="L139" s="51"/>
      <c r="M139" s="51"/>
      <c r="N139" s="51"/>
      <c r="O139" s="51"/>
      <c r="P139" s="51"/>
      <c r="Q139" s="83"/>
      <c r="R139" s="83"/>
      <c r="S139" s="84"/>
      <c r="T139" s="84"/>
      <c r="U139" s="84"/>
      <c r="V139" s="84"/>
      <c r="W139" s="84"/>
      <c r="X139" s="84"/>
      <c r="Y139" s="84"/>
      <c r="Z139" s="84"/>
      <c r="AA139" s="84"/>
      <c r="AB139" s="84"/>
      <c r="AC139" s="80"/>
      <c r="AD139" s="80"/>
      <c r="AE139" s="80"/>
      <c r="AF139" s="80"/>
      <c r="AG139" s="80"/>
      <c r="AH139" s="80"/>
      <c r="AI139" s="80"/>
      <c r="AJ139" s="80"/>
      <c r="AK139" s="80"/>
      <c r="AL139" s="80"/>
      <c r="AM139" s="80"/>
      <c r="AN139" s="80"/>
      <c r="AO139" s="87"/>
      <c r="AP139" s="87"/>
      <c r="AQ139" s="87"/>
      <c r="AR139" s="87"/>
      <c r="AS139" s="87"/>
      <c r="AT139" s="87"/>
      <c r="AU139" s="87"/>
      <c r="AV139" s="87"/>
      <c r="AW139" s="87"/>
      <c r="AX139" s="87"/>
      <c r="AY139" s="87"/>
      <c r="AZ139" s="87"/>
    </row>
    <row r="140" spans="2:52">
      <c r="B140" s="46"/>
      <c r="C140" s="46"/>
      <c r="D140" s="46"/>
      <c r="E140" s="51"/>
      <c r="F140" s="51"/>
      <c r="G140" s="51"/>
      <c r="H140" s="51"/>
      <c r="I140" s="51"/>
      <c r="J140" s="51"/>
      <c r="K140" s="51"/>
      <c r="L140" s="51"/>
      <c r="M140" s="51"/>
      <c r="N140" s="51"/>
      <c r="O140" s="51"/>
      <c r="P140" s="51"/>
      <c r="Q140" s="83"/>
      <c r="R140" s="83"/>
      <c r="S140" s="84"/>
      <c r="T140" s="84"/>
      <c r="U140" s="84"/>
      <c r="V140" s="84"/>
      <c r="W140" s="84"/>
      <c r="X140" s="84"/>
      <c r="Y140" s="84"/>
      <c r="Z140" s="84"/>
      <c r="AA140" s="84"/>
      <c r="AB140" s="84"/>
      <c r="AC140" s="80"/>
      <c r="AD140" s="80"/>
      <c r="AE140" s="80"/>
      <c r="AF140" s="80"/>
      <c r="AG140" s="80"/>
      <c r="AH140" s="80"/>
      <c r="AI140" s="80"/>
      <c r="AJ140" s="80"/>
      <c r="AK140" s="80"/>
      <c r="AL140" s="80"/>
      <c r="AM140" s="80"/>
      <c r="AN140" s="80"/>
      <c r="AO140" s="87"/>
      <c r="AP140" s="87"/>
      <c r="AQ140" s="87"/>
      <c r="AR140" s="87"/>
      <c r="AS140" s="87"/>
      <c r="AT140" s="87"/>
      <c r="AU140" s="87"/>
      <c r="AV140" s="87"/>
      <c r="AW140" s="87"/>
      <c r="AX140" s="87"/>
      <c r="AY140" s="87"/>
      <c r="AZ140" s="87"/>
    </row>
    <row r="141" spans="2:52">
      <c r="B141" s="46"/>
      <c r="C141" s="46"/>
      <c r="D141" s="46"/>
      <c r="E141" s="51"/>
      <c r="F141" s="51"/>
      <c r="G141" s="51"/>
      <c r="H141" s="51"/>
      <c r="I141" s="51"/>
      <c r="J141" s="51"/>
      <c r="K141" s="51"/>
      <c r="L141" s="51"/>
      <c r="M141" s="51"/>
      <c r="N141" s="51"/>
      <c r="O141" s="51"/>
      <c r="P141" s="51"/>
      <c r="Q141" s="83"/>
      <c r="R141" s="83"/>
      <c r="S141" s="84"/>
      <c r="T141" s="84"/>
      <c r="U141" s="84"/>
      <c r="V141" s="84"/>
      <c r="W141" s="84"/>
      <c r="X141" s="84"/>
      <c r="Y141" s="84"/>
      <c r="Z141" s="84"/>
      <c r="AA141" s="84"/>
      <c r="AB141" s="84"/>
      <c r="AC141" s="80"/>
      <c r="AD141" s="80"/>
      <c r="AE141" s="80"/>
      <c r="AF141" s="80"/>
      <c r="AG141" s="80"/>
      <c r="AH141" s="80"/>
      <c r="AI141" s="80"/>
      <c r="AJ141" s="80"/>
      <c r="AK141" s="80"/>
      <c r="AL141" s="80"/>
      <c r="AM141" s="80"/>
      <c r="AN141" s="80"/>
      <c r="AO141" s="87"/>
      <c r="AP141" s="87"/>
      <c r="AQ141" s="87"/>
      <c r="AR141" s="87"/>
      <c r="AS141" s="87"/>
      <c r="AT141" s="87"/>
      <c r="AU141" s="87"/>
      <c r="AV141" s="87"/>
      <c r="AW141" s="87"/>
      <c r="AX141" s="87"/>
      <c r="AY141" s="87"/>
      <c r="AZ141" s="87"/>
    </row>
    <row r="142" spans="2:52">
      <c r="B142" s="46"/>
      <c r="C142" s="46"/>
      <c r="D142" s="46"/>
      <c r="E142" s="51"/>
      <c r="F142" s="51"/>
      <c r="G142" s="51"/>
      <c r="H142" s="51"/>
      <c r="I142" s="51"/>
      <c r="J142" s="51"/>
      <c r="K142" s="51"/>
      <c r="L142" s="51"/>
      <c r="M142" s="51"/>
      <c r="N142" s="51"/>
      <c r="O142" s="51"/>
      <c r="P142" s="51"/>
      <c r="Q142" s="83"/>
      <c r="R142" s="83"/>
      <c r="S142" s="84"/>
      <c r="T142" s="84"/>
      <c r="U142" s="84"/>
      <c r="V142" s="84"/>
      <c r="W142" s="84"/>
      <c r="X142" s="84"/>
      <c r="Y142" s="84"/>
      <c r="Z142" s="84"/>
      <c r="AA142" s="84"/>
      <c r="AB142" s="84"/>
      <c r="AC142" s="80"/>
      <c r="AD142" s="80"/>
      <c r="AE142" s="80"/>
      <c r="AF142" s="80"/>
      <c r="AG142" s="80"/>
      <c r="AH142" s="80"/>
      <c r="AI142" s="80"/>
      <c r="AJ142" s="80"/>
      <c r="AK142" s="80"/>
      <c r="AL142" s="80"/>
      <c r="AM142" s="80"/>
      <c r="AN142" s="80"/>
      <c r="AO142" s="87"/>
      <c r="AP142" s="87"/>
      <c r="AQ142" s="87"/>
      <c r="AR142" s="87"/>
      <c r="AS142" s="87"/>
      <c r="AT142" s="87"/>
      <c r="AU142" s="87"/>
      <c r="AV142" s="87"/>
      <c r="AW142" s="87"/>
      <c r="AX142" s="87"/>
      <c r="AY142" s="87"/>
      <c r="AZ142" s="87"/>
    </row>
    <row r="143" spans="2:52">
      <c r="B143" s="46"/>
      <c r="C143" s="46"/>
      <c r="D143" s="46"/>
      <c r="E143" s="51"/>
      <c r="F143" s="51"/>
      <c r="G143" s="51"/>
      <c r="H143" s="51"/>
      <c r="I143" s="51"/>
      <c r="J143" s="51"/>
      <c r="K143" s="51"/>
      <c r="L143" s="51"/>
      <c r="M143" s="51"/>
      <c r="N143" s="51"/>
      <c r="O143" s="51"/>
      <c r="P143" s="51"/>
      <c r="Q143" s="83"/>
      <c r="R143" s="83"/>
      <c r="S143" s="84"/>
      <c r="T143" s="84"/>
      <c r="U143" s="84"/>
      <c r="V143" s="84"/>
      <c r="W143" s="84"/>
      <c r="X143" s="84"/>
      <c r="Y143" s="84"/>
      <c r="Z143" s="84"/>
      <c r="AA143" s="84"/>
      <c r="AB143" s="84"/>
      <c r="AC143" s="80"/>
      <c r="AD143" s="80"/>
      <c r="AE143" s="80"/>
      <c r="AF143" s="80"/>
      <c r="AG143" s="80"/>
      <c r="AH143" s="80"/>
      <c r="AI143" s="80"/>
      <c r="AJ143" s="80"/>
      <c r="AK143" s="80"/>
      <c r="AL143" s="80"/>
      <c r="AM143" s="80"/>
      <c r="AN143" s="80"/>
      <c r="AO143" s="87"/>
      <c r="AP143" s="87"/>
      <c r="AQ143" s="87"/>
      <c r="AR143" s="87"/>
      <c r="AS143" s="87"/>
      <c r="AT143" s="87"/>
      <c r="AU143" s="87"/>
      <c r="AV143" s="87"/>
      <c r="AW143" s="87"/>
      <c r="AX143" s="87"/>
      <c r="AY143" s="87"/>
      <c r="AZ143" s="87"/>
    </row>
    <row r="144" spans="2:52">
      <c r="B144" s="46"/>
      <c r="C144" s="46"/>
      <c r="D144" s="46"/>
      <c r="E144" s="51"/>
      <c r="F144" s="51"/>
      <c r="G144" s="51"/>
      <c r="H144" s="51"/>
      <c r="I144" s="51"/>
      <c r="J144" s="51"/>
      <c r="K144" s="51"/>
      <c r="L144" s="51"/>
      <c r="M144" s="51"/>
      <c r="N144" s="51"/>
      <c r="O144" s="51"/>
      <c r="P144" s="51"/>
      <c r="Q144" s="83"/>
      <c r="R144" s="83"/>
      <c r="S144" s="84"/>
      <c r="T144" s="84"/>
      <c r="U144" s="84"/>
      <c r="V144" s="84"/>
      <c r="W144" s="84"/>
      <c r="X144" s="84"/>
      <c r="Y144" s="84"/>
      <c r="Z144" s="84"/>
      <c r="AA144" s="84"/>
      <c r="AB144" s="84"/>
      <c r="AC144" s="80"/>
      <c r="AD144" s="80"/>
      <c r="AE144" s="80"/>
      <c r="AF144" s="80"/>
      <c r="AG144" s="80"/>
      <c r="AH144" s="80"/>
      <c r="AI144" s="80"/>
      <c r="AJ144" s="80"/>
      <c r="AK144" s="80"/>
      <c r="AL144" s="80"/>
      <c r="AM144" s="80"/>
      <c r="AN144" s="80"/>
      <c r="AO144" s="87"/>
      <c r="AP144" s="87"/>
      <c r="AQ144" s="87"/>
      <c r="AR144" s="87"/>
      <c r="AS144" s="87"/>
      <c r="AT144" s="87"/>
      <c r="AU144" s="87"/>
      <c r="AV144" s="87"/>
      <c r="AW144" s="87"/>
      <c r="AX144" s="87"/>
      <c r="AY144" s="87"/>
      <c r="AZ144" s="87"/>
    </row>
    <row r="145" spans="2:52">
      <c r="B145" s="46"/>
      <c r="C145" s="46"/>
      <c r="D145" s="46"/>
      <c r="E145" s="51"/>
      <c r="F145" s="51"/>
      <c r="G145" s="51"/>
      <c r="H145" s="51"/>
      <c r="I145" s="51"/>
      <c r="J145" s="51"/>
      <c r="K145" s="51"/>
      <c r="L145" s="51"/>
      <c r="M145" s="51"/>
      <c r="N145" s="51"/>
      <c r="O145" s="51"/>
      <c r="P145" s="51"/>
      <c r="Q145" s="83"/>
      <c r="R145" s="83"/>
      <c r="S145" s="84"/>
      <c r="T145" s="84"/>
      <c r="U145" s="84"/>
      <c r="V145" s="84"/>
      <c r="W145" s="84"/>
      <c r="X145" s="84"/>
      <c r="Y145" s="84"/>
      <c r="Z145" s="84"/>
      <c r="AA145" s="84"/>
      <c r="AB145" s="84"/>
      <c r="AC145" s="80"/>
      <c r="AD145" s="80"/>
      <c r="AE145" s="80"/>
      <c r="AF145" s="80"/>
      <c r="AG145" s="80"/>
      <c r="AH145" s="80"/>
      <c r="AI145" s="80"/>
      <c r="AJ145" s="80"/>
      <c r="AK145" s="80"/>
      <c r="AL145" s="80"/>
      <c r="AM145" s="80"/>
      <c r="AN145" s="80"/>
      <c r="AO145" s="87"/>
      <c r="AP145" s="87"/>
      <c r="AQ145" s="87"/>
      <c r="AR145" s="87"/>
      <c r="AS145" s="87"/>
      <c r="AT145" s="87"/>
      <c r="AU145" s="87"/>
      <c r="AV145" s="87"/>
      <c r="AW145" s="87"/>
      <c r="AX145" s="87"/>
      <c r="AY145" s="87"/>
      <c r="AZ145" s="87"/>
    </row>
    <row r="146" spans="2:52">
      <c r="B146" s="46"/>
      <c r="C146" s="46"/>
      <c r="D146" s="46"/>
      <c r="E146" s="51"/>
      <c r="F146" s="51"/>
      <c r="G146" s="51"/>
      <c r="H146" s="51"/>
      <c r="I146" s="51"/>
      <c r="J146" s="51"/>
      <c r="K146" s="51"/>
      <c r="L146" s="51"/>
      <c r="M146" s="51"/>
      <c r="N146" s="51"/>
      <c r="O146" s="51"/>
      <c r="P146" s="51"/>
      <c r="Q146" s="83"/>
      <c r="R146" s="83"/>
      <c r="S146" s="84"/>
      <c r="T146" s="84"/>
      <c r="U146" s="84"/>
      <c r="V146" s="84"/>
      <c r="W146" s="84"/>
      <c r="X146" s="84"/>
      <c r="Y146" s="84"/>
      <c r="Z146" s="84"/>
      <c r="AA146" s="84"/>
      <c r="AB146" s="84"/>
      <c r="AC146" s="80"/>
      <c r="AD146" s="80"/>
      <c r="AE146" s="80"/>
      <c r="AF146" s="80"/>
      <c r="AG146" s="80"/>
      <c r="AH146" s="80"/>
      <c r="AI146" s="80"/>
      <c r="AJ146" s="80"/>
      <c r="AK146" s="80"/>
      <c r="AL146" s="80"/>
      <c r="AM146" s="80"/>
      <c r="AN146" s="80"/>
      <c r="AO146" s="87"/>
      <c r="AP146" s="87"/>
      <c r="AQ146" s="87"/>
      <c r="AR146" s="87"/>
      <c r="AS146" s="87"/>
      <c r="AT146" s="87"/>
      <c r="AU146" s="87"/>
      <c r="AV146" s="87"/>
      <c r="AW146" s="87"/>
      <c r="AX146" s="87"/>
      <c r="AY146" s="87"/>
      <c r="AZ146" s="87"/>
    </row>
    <row r="147" spans="2:52">
      <c r="B147" s="46"/>
      <c r="C147" s="46"/>
      <c r="D147" s="46"/>
      <c r="E147" s="51"/>
      <c r="F147" s="51"/>
      <c r="G147" s="51"/>
      <c r="H147" s="51"/>
      <c r="I147" s="51"/>
      <c r="J147" s="51"/>
      <c r="K147" s="51"/>
      <c r="L147" s="51"/>
      <c r="M147" s="51"/>
      <c r="N147" s="51"/>
      <c r="O147" s="51"/>
      <c r="P147" s="51"/>
      <c r="Q147" s="83"/>
      <c r="R147" s="83"/>
      <c r="S147" s="84"/>
      <c r="T147" s="84"/>
      <c r="U147" s="84"/>
      <c r="V147" s="84"/>
      <c r="W147" s="84"/>
      <c r="X147" s="84"/>
      <c r="Y147" s="84"/>
      <c r="Z147" s="84"/>
      <c r="AA147" s="84"/>
      <c r="AB147" s="84"/>
      <c r="AC147" s="80"/>
      <c r="AD147" s="80"/>
      <c r="AE147" s="80"/>
      <c r="AF147" s="80"/>
      <c r="AG147" s="80"/>
      <c r="AH147" s="80"/>
      <c r="AI147" s="80"/>
      <c r="AJ147" s="80"/>
      <c r="AK147" s="80"/>
      <c r="AL147" s="80"/>
      <c r="AM147" s="80"/>
      <c r="AN147" s="80"/>
      <c r="AO147" s="87"/>
      <c r="AP147" s="87"/>
      <c r="AQ147" s="87"/>
      <c r="AR147" s="87"/>
      <c r="AS147" s="87"/>
      <c r="AT147" s="87"/>
      <c r="AU147" s="87"/>
      <c r="AV147" s="87"/>
      <c r="AW147" s="87"/>
      <c r="AX147" s="87"/>
      <c r="AY147" s="87"/>
      <c r="AZ147" s="87"/>
    </row>
    <row r="148" spans="2:52">
      <c r="B148" s="46"/>
      <c r="C148" s="46"/>
      <c r="D148" s="46"/>
      <c r="E148" s="51"/>
      <c r="F148" s="51"/>
      <c r="G148" s="51"/>
      <c r="H148" s="51"/>
      <c r="I148" s="51"/>
      <c r="J148" s="51"/>
      <c r="K148" s="51"/>
      <c r="L148" s="51"/>
      <c r="M148" s="51"/>
      <c r="N148" s="51"/>
      <c r="O148" s="51"/>
      <c r="P148" s="51"/>
      <c r="Q148" s="83"/>
      <c r="R148" s="83"/>
      <c r="S148" s="84"/>
      <c r="T148" s="84"/>
      <c r="U148" s="84"/>
      <c r="V148" s="84"/>
      <c r="W148" s="84"/>
      <c r="X148" s="84"/>
      <c r="Y148" s="84"/>
      <c r="Z148" s="84"/>
      <c r="AA148" s="84"/>
      <c r="AB148" s="84"/>
      <c r="AC148" s="80"/>
      <c r="AD148" s="80"/>
      <c r="AE148" s="80"/>
      <c r="AF148" s="80"/>
      <c r="AG148" s="80"/>
      <c r="AH148" s="80"/>
      <c r="AI148" s="80"/>
      <c r="AJ148" s="80"/>
      <c r="AK148" s="80"/>
      <c r="AL148" s="80"/>
      <c r="AM148" s="80"/>
      <c r="AN148" s="80"/>
      <c r="AO148" s="87"/>
      <c r="AP148" s="87"/>
      <c r="AQ148" s="87"/>
      <c r="AR148" s="87"/>
      <c r="AS148" s="87"/>
      <c r="AT148" s="87"/>
      <c r="AU148" s="87"/>
      <c r="AV148" s="87"/>
      <c r="AW148" s="87"/>
      <c r="AX148" s="87"/>
      <c r="AY148" s="87"/>
      <c r="AZ148" s="87"/>
    </row>
    <row r="149" spans="2:52">
      <c r="B149" s="46"/>
      <c r="C149" s="46"/>
      <c r="D149" s="46"/>
      <c r="E149" s="51"/>
      <c r="F149" s="51"/>
      <c r="G149" s="51"/>
      <c r="H149" s="51"/>
      <c r="I149" s="51"/>
      <c r="J149" s="51"/>
      <c r="K149" s="51"/>
      <c r="L149" s="51"/>
      <c r="M149" s="51"/>
      <c r="N149" s="51"/>
      <c r="O149" s="51"/>
      <c r="P149" s="51"/>
      <c r="Q149" s="83"/>
      <c r="R149" s="83"/>
      <c r="S149" s="84"/>
      <c r="T149" s="84"/>
      <c r="U149" s="84"/>
      <c r="V149" s="84"/>
      <c r="W149" s="84"/>
      <c r="X149" s="84"/>
      <c r="Y149" s="84"/>
      <c r="Z149" s="84"/>
      <c r="AA149" s="84"/>
      <c r="AB149" s="84"/>
      <c r="AC149" s="80"/>
      <c r="AD149" s="80"/>
      <c r="AE149" s="80"/>
      <c r="AF149" s="80"/>
      <c r="AG149" s="80"/>
      <c r="AH149" s="80"/>
      <c r="AI149" s="80"/>
      <c r="AJ149" s="80"/>
      <c r="AK149" s="80"/>
      <c r="AL149" s="80"/>
      <c r="AM149" s="80"/>
      <c r="AN149" s="80"/>
      <c r="AO149" s="87"/>
      <c r="AP149" s="87"/>
      <c r="AQ149" s="87"/>
      <c r="AR149" s="87"/>
      <c r="AS149" s="87"/>
      <c r="AT149" s="87"/>
      <c r="AU149" s="87"/>
      <c r="AV149" s="87"/>
      <c r="AW149" s="87"/>
      <c r="AX149" s="87"/>
      <c r="AY149" s="87"/>
      <c r="AZ149" s="87"/>
    </row>
    <row r="150" spans="2:52">
      <c r="B150" s="46"/>
      <c r="C150" s="46"/>
      <c r="D150" s="46"/>
      <c r="E150" s="51"/>
      <c r="F150" s="51"/>
      <c r="G150" s="51"/>
      <c r="H150" s="51"/>
      <c r="I150" s="51"/>
      <c r="J150" s="51"/>
      <c r="K150" s="51"/>
      <c r="L150" s="51"/>
      <c r="M150" s="51"/>
      <c r="N150" s="51"/>
      <c r="O150" s="51"/>
      <c r="P150" s="51"/>
      <c r="Q150" s="83"/>
      <c r="R150" s="83"/>
      <c r="S150" s="84"/>
      <c r="T150" s="84"/>
      <c r="U150" s="84"/>
      <c r="V150" s="84"/>
      <c r="W150" s="84"/>
      <c r="X150" s="84"/>
      <c r="Y150" s="84"/>
      <c r="Z150" s="84"/>
      <c r="AA150" s="84"/>
      <c r="AB150" s="84"/>
      <c r="AC150" s="80"/>
      <c r="AD150" s="80"/>
      <c r="AE150" s="80"/>
      <c r="AF150" s="80"/>
      <c r="AG150" s="80"/>
      <c r="AH150" s="80"/>
      <c r="AI150" s="80"/>
      <c r="AJ150" s="80"/>
      <c r="AK150" s="80"/>
      <c r="AL150" s="80"/>
      <c r="AM150" s="80"/>
      <c r="AN150" s="80"/>
      <c r="AO150" s="87"/>
      <c r="AP150" s="87"/>
      <c r="AQ150" s="87"/>
      <c r="AR150" s="87"/>
      <c r="AS150" s="87"/>
      <c r="AT150" s="87"/>
      <c r="AU150" s="87"/>
      <c r="AV150" s="87"/>
      <c r="AW150" s="87"/>
      <c r="AX150" s="87"/>
      <c r="AY150" s="87"/>
      <c r="AZ150" s="87"/>
    </row>
    <row r="151" spans="2:52">
      <c r="B151" s="46"/>
      <c r="C151" s="46"/>
      <c r="D151" s="46"/>
      <c r="E151" s="51"/>
      <c r="F151" s="51"/>
      <c r="G151" s="51"/>
      <c r="H151" s="51"/>
      <c r="I151" s="51"/>
      <c r="J151" s="51"/>
      <c r="K151" s="51"/>
      <c r="L151" s="51"/>
      <c r="M151" s="51"/>
      <c r="N151" s="51"/>
      <c r="O151" s="51"/>
      <c r="P151" s="51"/>
      <c r="Q151" s="83"/>
      <c r="R151" s="83"/>
      <c r="S151" s="84"/>
      <c r="T151" s="84"/>
      <c r="U151" s="84"/>
      <c r="V151" s="84"/>
      <c r="W151" s="84"/>
      <c r="X151" s="84"/>
      <c r="Y151" s="84"/>
      <c r="Z151" s="84"/>
      <c r="AA151" s="84"/>
      <c r="AB151" s="84"/>
      <c r="AC151" s="80"/>
      <c r="AD151" s="80"/>
      <c r="AE151" s="80"/>
      <c r="AF151" s="80"/>
      <c r="AG151" s="80"/>
      <c r="AH151" s="80"/>
      <c r="AI151" s="80"/>
      <c r="AJ151" s="80"/>
      <c r="AK151" s="80"/>
      <c r="AL151" s="80"/>
      <c r="AM151" s="80"/>
      <c r="AN151" s="80"/>
      <c r="AO151" s="87"/>
      <c r="AP151" s="87"/>
      <c r="AQ151" s="87"/>
      <c r="AR151" s="87"/>
      <c r="AS151" s="87"/>
      <c r="AT151" s="87"/>
      <c r="AU151" s="87"/>
      <c r="AV151" s="87"/>
      <c r="AW151" s="87"/>
      <c r="AX151" s="87"/>
      <c r="AY151" s="87"/>
      <c r="AZ151" s="87"/>
    </row>
    <row r="152" spans="2:52">
      <c r="B152" s="46"/>
      <c r="C152" s="46"/>
      <c r="D152" s="46"/>
      <c r="E152" s="51"/>
      <c r="F152" s="51"/>
      <c r="G152" s="51"/>
      <c r="H152" s="51"/>
      <c r="I152" s="51"/>
      <c r="J152" s="51"/>
      <c r="K152" s="51"/>
      <c r="L152" s="51"/>
      <c r="M152" s="51"/>
      <c r="N152" s="51"/>
      <c r="O152" s="51"/>
      <c r="P152" s="51"/>
      <c r="Q152" s="83"/>
      <c r="R152" s="83"/>
      <c r="S152" s="84"/>
      <c r="T152" s="84"/>
      <c r="U152" s="84"/>
      <c r="V152" s="84"/>
      <c r="W152" s="84"/>
      <c r="X152" s="84"/>
      <c r="Y152" s="84"/>
      <c r="Z152" s="84"/>
      <c r="AA152" s="84"/>
      <c r="AB152" s="84"/>
      <c r="AC152" s="80"/>
      <c r="AD152" s="80"/>
      <c r="AE152" s="80"/>
      <c r="AF152" s="80"/>
      <c r="AG152" s="80"/>
      <c r="AH152" s="80"/>
      <c r="AI152" s="80"/>
      <c r="AJ152" s="80"/>
      <c r="AK152" s="80"/>
      <c r="AL152" s="80"/>
      <c r="AM152" s="80"/>
      <c r="AN152" s="80"/>
      <c r="AO152" s="87"/>
      <c r="AP152" s="87"/>
      <c r="AQ152" s="87"/>
      <c r="AR152" s="87"/>
      <c r="AS152" s="87"/>
      <c r="AT152" s="87"/>
      <c r="AU152" s="87"/>
      <c r="AV152" s="87"/>
      <c r="AW152" s="87"/>
      <c r="AX152" s="87"/>
      <c r="AY152" s="87"/>
      <c r="AZ152" s="87"/>
    </row>
    <row r="153" spans="2:52">
      <c r="B153" s="46"/>
      <c r="C153" s="46"/>
      <c r="D153" s="46"/>
      <c r="E153" s="51"/>
      <c r="F153" s="51"/>
      <c r="G153" s="51"/>
      <c r="H153" s="51"/>
      <c r="I153" s="51"/>
      <c r="J153" s="51"/>
      <c r="K153" s="51"/>
      <c r="L153" s="51"/>
      <c r="M153" s="51"/>
      <c r="N153" s="51"/>
      <c r="O153" s="51"/>
      <c r="P153" s="51"/>
      <c r="Q153" s="83"/>
      <c r="R153" s="83"/>
      <c r="S153" s="84"/>
      <c r="T153" s="84"/>
      <c r="U153" s="84"/>
      <c r="V153" s="84"/>
      <c r="W153" s="84"/>
      <c r="X153" s="84"/>
      <c r="Y153" s="84"/>
      <c r="Z153" s="84"/>
      <c r="AA153" s="84"/>
      <c r="AB153" s="84"/>
      <c r="AC153" s="80"/>
      <c r="AD153" s="80"/>
      <c r="AE153" s="80"/>
      <c r="AF153" s="80"/>
      <c r="AG153" s="80"/>
      <c r="AH153" s="80"/>
      <c r="AI153" s="80"/>
      <c r="AJ153" s="80"/>
      <c r="AK153" s="80"/>
      <c r="AL153" s="80"/>
      <c r="AM153" s="80"/>
      <c r="AN153" s="80"/>
      <c r="AO153" s="87"/>
      <c r="AP153" s="87"/>
      <c r="AQ153" s="87"/>
      <c r="AR153" s="87"/>
      <c r="AS153" s="87"/>
      <c r="AT153" s="87"/>
      <c r="AU153" s="87"/>
      <c r="AV153" s="87"/>
      <c r="AW153" s="87"/>
      <c r="AX153" s="87"/>
      <c r="AY153" s="87"/>
      <c r="AZ153" s="87"/>
    </row>
    <row r="154" spans="2:52">
      <c r="B154" s="46"/>
      <c r="C154" s="46"/>
      <c r="D154" s="46"/>
      <c r="E154" s="51"/>
      <c r="F154" s="51"/>
      <c r="G154" s="51"/>
      <c r="H154" s="51"/>
      <c r="I154" s="51"/>
      <c r="J154" s="51"/>
      <c r="K154" s="51"/>
      <c r="L154" s="51"/>
      <c r="M154" s="51"/>
      <c r="N154" s="51"/>
      <c r="O154" s="51"/>
      <c r="P154" s="51"/>
      <c r="Q154" s="83"/>
      <c r="R154" s="83"/>
      <c r="S154" s="84"/>
      <c r="T154" s="84"/>
      <c r="U154" s="84"/>
      <c r="V154" s="84"/>
      <c r="W154" s="84"/>
      <c r="X154" s="84"/>
      <c r="Y154" s="84"/>
      <c r="Z154" s="84"/>
      <c r="AA154" s="84"/>
      <c r="AB154" s="84"/>
      <c r="AC154" s="80"/>
      <c r="AD154" s="80"/>
      <c r="AE154" s="80"/>
      <c r="AF154" s="80"/>
      <c r="AG154" s="80"/>
      <c r="AH154" s="80"/>
      <c r="AI154" s="80"/>
      <c r="AJ154" s="80"/>
      <c r="AK154" s="80"/>
      <c r="AL154" s="80"/>
      <c r="AM154" s="80"/>
      <c r="AN154" s="80"/>
      <c r="AO154" s="87"/>
      <c r="AP154" s="87"/>
      <c r="AQ154" s="87"/>
      <c r="AR154" s="87"/>
      <c r="AS154" s="87"/>
      <c r="AT154" s="87"/>
      <c r="AU154" s="87"/>
      <c r="AV154" s="87"/>
      <c r="AW154" s="87"/>
      <c r="AX154" s="87"/>
      <c r="AY154" s="87"/>
      <c r="AZ154" s="87"/>
    </row>
    <row r="155" spans="2:52">
      <c r="B155" s="46"/>
      <c r="C155" s="46"/>
      <c r="D155" s="46"/>
      <c r="E155" s="51"/>
      <c r="F155" s="51"/>
      <c r="G155" s="51"/>
      <c r="H155" s="51"/>
      <c r="I155" s="51"/>
      <c r="J155" s="51"/>
      <c r="K155" s="51"/>
      <c r="L155" s="51"/>
      <c r="M155" s="51"/>
      <c r="N155" s="51"/>
      <c r="O155" s="51"/>
      <c r="P155" s="51"/>
      <c r="Q155" s="83"/>
      <c r="R155" s="83"/>
      <c r="S155" s="84"/>
      <c r="T155" s="84"/>
      <c r="U155" s="84"/>
      <c r="V155" s="84"/>
      <c r="W155" s="84"/>
      <c r="X155" s="84"/>
      <c r="Y155" s="84"/>
      <c r="Z155" s="84"/>
      <c r="AA155" s="84"/>
      <c r="AB155" s="84"/>
      <c r="AC155" s="80"/>
      <c r="AD155" s="80"/>
      <c r="AE155" s="80"/>
      <c r="AF155" s="80"/>
      <c r="AG155" s="80"/>
      <c r="AH155" s="80"/>
      <c r="AI155" s="80"/>
      <c r="AJ155" s="80"/>
      <c r="AK155" s="80"/>
      <c r="AL155" s="80"/>
      <c r="AM155" s="80"/>
      <c r="AN155" s="80"/>
      <c r="AO155" s="87"/>
      <c r="AP155" s="87"/>
      <c r="AQ155" s="87"/>
      <c r="AR155" s="87"/>
      <c r="AS155" s="87"/>
      <c r="AT155" s="87"/>
      <c r="AU155" s="87"/>
      <c r="AV155" s="87"/>
      <c r="AW155" s="87"/>
      <c r="AX155" s="87"/>
      <c r="AY155" s="87"/>
      <c r="AZ155" s="87"/>
    </row>
    <row r="156" spans="2:52">
      <c r="B156" s="46"/>
      <c r="C156" s="46"/>
      <c r="D156" s="46"/>
      <c r="E156" s="51"/>
      <c r="F156" s="51"/>
      <c r="G156" s="51"/>
      <c r="H156" s="51"/>
      <c r="I156" s="51"/>
      <c r="J156" s="51"/>
      <c r="K156" s="51"/>
      <c r="L156" s="51"/>
      <c r="M156" s="51"/>
      <c r="N156" s="51"/>
      <c r="O156" s="51"/>
      <c r="P156" s="51"/>
      <c r="Q156" s="83"/>
      <c r="R156" s="83"/>
      <c r="S156" s="84"/>
      <c r="T156" s="84"/>
      <c r="U156" s="84"/>
      <c r="V156" s="84"/>
      <c r="W156" s="84"/>
      <c r="X156" s="84"/>
      <c r="Y156" s="84"/>
      <c r="Z156" s="84"/>
      <c r="AA156" s="84"/>
      <c r="AB156" s="84"/>
      <c r="AC156" s="80"/>
      <c r="AD156" s="80"/>
      <c r="AE156" s="80"/>
      <c r="AF156" s="80"/>
      <c r="AG156" s="80"/>
      <c r="AH156" s="80"/>
      <c r="AI156" s="80"/>
      <c r="AJ156" s="80"/>
      <c r="AK156" s="80"/>
      <c r="AL156" s="80"/>
      <c r="AM156" s="80"/>
      <c r="AN156" s="80"/>
      <c r="AO156" s="87"/>
      <c r="AP156" s="87"/>
      <c r="AQ156" s="87"/>
      <c r="AR156" s="87"/>
      <c r="AS156" s="87"/>
      <c r="AT156" s="87"/>
      <c r="AU156" s="87"/>
      <c r="AV156" s="87"/>
      <c r="AW156" s="87"/>
      <c r="AX156" s="87"/>
      <c r="AY156" s="87"/>
      <c r="AZ156" s="87"/>
    </row>
    <row r="157" spans="2:52">
      <c r="B157" s="46"/>
      <c r="C157" s="46"/>
      <c r="D157" s="46"/>
      <c r="E157" s="51"/>
      <c r="F157" s="51"/>
      <c r="G157" s="51"/>
      <c r="H157" s="51"/>
      <c r="I157" s="51"/>
      <c r="J157" s="51"/>
      <c r="K157" s="51"/>
      <c r="L157" s="51"/>
      <c r="M157" s="51"/>
      <c r="N157" s="51"/>
      <c r="O157" s="51"/>
      <c r="P157" s="51"/>
      <c r="Q157" s="83"/>
      <c r="R157" s="83"/>
      <c r="S157" s="84"/>
      <c r="T157" s="84"/>
      <c r="U157" s="84"/>
      <c r="V157" s="84"/>
      <c r="W157" s="84"/>
      <c r="X157" s="84"/>
      <c r="Y157" s="84"/>
      <c r="Z157" s="84"/>
      <c r="AA157" s="84"/>
      <c r="AB157" s="84"/>
      <c r="AC157" s="80"/>
      <c r="AD157" s="80"/>
      <c r="AE157" s="80"/>
      <c r="AF157" s="80"/>
      <c r="AG157" s="80"/>
      <c r="AH157" s="80"/>
      <c r="AI157" s="80"/>
      <c r="AJ157" s="80"/>
      <c r="AK157" s="80"/>
      <c r="AL157" s="80"/>
      <c r="AM157" s="80"/>
      <c r="AN157" s="80"/>
      <c r="AO157" s="87"/>
      <c r="AP157" s="87"/>
      <c r="AQ157" s="87"/>
      <c r="AR157" s="87"/>
      <c r="AS157" s="87"/>
      <c r="AT157" s="87"/>
      <c r="AU157" s="87"/>
      <c r="AV157" s="87"/>
      <c r="AW157" s="87"/>
      <c r="AX157" s="87"/>
      <c r="AY157" s="87"/>
      <c r="AZ157" s="87"/>
    </row>
    <row r="158" spans="2:52">
      <c r="B158" s="46"/>
      <c r="C158" s="46"/>
      <c r="D158" s="46"/>
      <c r="E158" s="51"/>
      <c r="F158" s="51"/>
      <c r="G158" s="51"/>
      <c r="H158" s="51"/>
      <c r="I158" s="51"/>
      <c r="J158" s="51"/>
      <c r="K158" s="51"/>
      <c r="L158" s="51"/>
      <c r="M158" s="51"/>
      <c r="N158" s="51"/>
      <c r="O158" s="51"/>
      <c r="P158" s="51"/>
      <c r="Q158" s="83"/>
      <c r="R158" s="83"/>
      <c r="S158" s="84"/>
      <c r="T158" s="84"/>
      <c r="U158" s="84"/>
      <c r="V158" s="84"/>
      <c r="W158" s="84"/>
      <c r="X158" s="84"/>
      <c r="Y158" s="84"/>
      <c r="Z158" s="84"/>
      <c r="AA158" s="84"/>
      <c r="AB158" s="84"/>
      <c r="AC158" s="80"/>
      <c r="AD158" s="80"/>
      <c r="AE158" s="80"/>
      <c r="AF158" s="80"/>
      <c r="AG158" s="80"/>
      <c r="AH158" s="80"/>
      <c r="AI158" s="80"/>
      <c r="AJ158" s="80"/>
      <c r="AK158" s="80"/>
      <c r="AL158" s="80"/>
      <c r="AM158" s="80"/>
      <c r="AN158" s="80"/>
      <c r="AO158" s="87"/>
      <c r="AP158" s="87"/>
      <c r="AQ158" s="87"/>
      <c r="AR158" s="87"/>
      <c r="AS158" s="87"/>
      <c r="AT158" s="87"/>
      <c r="AU158" s="87"/>
      <c r="AV158" s="87"/>
      <c r="AW158" s="87"/>
      <c r="AX158" s="87"/>
      <c r="AY158" s="87"/>
      <c r="AZ158" s="87"/>
    </row>
    <row r="159" spans="2:52">
      <c r="B159" s="46"/>
      <c r="C159" s="46"/>
      <c r="D159" s="46"/>
      <c r="E159" s="51"/>
      <c r="F159" s="51"/>
      <c r="G159" s="51"/>
      <c r="H159" s="51"/>
      <c r="I159" s="51"/>
      <c r="J159" s="51"/>
      <c r="K159" s="51"/>
      <c r="L159" s="51"/>
      <c r="M159" s="51"/>
      <c r="N159" s="51"/>
      <c r="O159" s="51"/>
      <c r="P159" s="51"/>
      <c r="Q159" s="83"/>
      <c r="R159" s="83"/>
      <c r="S159" s="84"/>
      <c r="T159" s="84"/>
      <c r="U159" s="84"/>
      <c r="V159" s="84"/>
      <c r="W159" s="84"/>
      <c r="X159" s="84"/>
      <c r="Y159" s="84"/>
      <c r="Z159" s="84"/>
      <c r="AA159" s="84"/>
      <c r="AB159" s="84"/>
      <c r="AC159" s="80"/>
      <c r="AD159" s="80"/>
      <c r="AE159" s="80"/>
      <c r="AF159" s="80"/>
      <c r="AG159" s="80"/>
      <c r="AH159" s="80"/>
      <c r="AI159" s="80"/>
      <c r="AJ159" s="80"/>
      <c r="AK159" s="80"/>
      <c r="AL159" s="80"/>
      <c r="AM159" s="80"/>
      <c r="AN159" s="80"/>
      <c r="AO159" s="87"/>
      <c r="AP159" s="87"/>
      <c r="AQ159" s="87"/>
      <c r="AR159" s="87"/>
      <c r="AS159" s="87"/>
      <c r="AT159" s="87"/>
      <c r="AU159" s="87"/>
      <c r="AV159" s="87"/>
      <c r="AW159" s="87"/>
      <c r="AX159" s="87"/>
      <c r="AY159" s="87"/>
      <c r="AZ159" s="87"/>
    </row>
    <row r="160" spans="2:52">
      <c r="B160" s="46"/>
      <c r="C160" s="46"/>
      <c r="D160" s="46"/>
      <c r="E160" s="51"/>
      <c r="F160" s="51"/>
      <c r="G160" s="51"/>
      <c r="H160" s="51"/>
      <c r="I160" s="51"/>
      <c r="J160" s="51"/>
      <c r="K160" s="51"/>
      <c r="L160" s="51"/>
      <c r="M160" s="51"/>
      <c r="N160" s="51"/>
      <c r="O160" s="51"/>
      <c r="P160" s="51"/>
      <c r="Q160" s="83"/>
      <c r="R160" s="83"/>
      <c r="S160" s="84"/>
      <c r="T160" s="84"/>
      <c r="U160" s="84"/>
      <c r="V160" s="84"/>
      <c r="W160" s="84"/>
      <c r="X160" s="84"/>
      <c r="Y160" s="84"/>
      <c r="Z160" s="84"/>
      <c r="AA160" s="84"/>
      <c r="AB160" s="84"/>
      <c r="AC160" s="80"/>
      <c r="AD160" s="80"/>
      <c r="AE160" s="80"/>
      <c r="AF160" s="80"/>
      <c r="AG160" s="80"/>
      <c r="AH160" s="80"/>
      <c r="AI160" s="80"/>
      <c r="AJ160" s="80"/>
      <c r="AK160" s="80"/>
      <c r="AL160" s="80"/>
      <c r="AM160" s="80"/>
      <c r="AN160" s="80"/>
      <c r="AO160" s="87"/>
      <c r="AP160" s="87"/>
      <c r="AQ160" s="87"/>
      <c r="AR160" s="87"/>
      <c r="AS160" s="87"/>
      <c r="AT160" s="87"/>
      <c r="AU160" s="87"/>
      <c r="AV160" s="87"/>
      <c r="AW160" s="87"/>
      <c r="AX160" s="87"/>
      <c r="AY160" s="87"/>
      <c r="AZ160" s="87"/>
    </row>
    <row r="161" spans="1:253">
      <c r="B161" s="46"/>
      <c r="C161" s="46"/>
      <c r="D161" s="46"/>
      <c r="E161" s="51"/>
      <c r="F161" s="51"/>
      <c r="G161" s="51"/>
      <c r="H161" s="51"/>
      <c r="I161" s="51"/>
      <c r="J161" s="51"/>
      <c r="K161" s="51"/>
      <c r="L161" s="51"/>
      <c r="M161" s="51"/>
      <c r="N161" s="51"/>
      <c r="O161" s="51"/>
      <c r="P161" s="51"/>
      <c r="Q161" s="83"/>
      <c r="R161" s="83"/>
      <c r="S161" s="84"/>
      <c r="T161" s="84"/>
      <c r="U161" s="84"/>
      <c r="V161" s="84"/>
      <c r="W161" s="84"/>
      <c r="X161" s="84"/>
      <c r="Y161" s="84"/>
      <c r="Z161" s="84"/>
      <c r="AA161" s="84"/>
      <c r="AB161" s="84"/>
      <c r="AC161" s="80"/>
      <c r="AD161" s="80"/>
      <c r="AE161" s="80"/>
      <c r="AF161" s="80"/>
      <c r="AG161" s="80"/>
      <c r="AH161" s="80"/>
      <c r="AI161" s="80"/>
      <c r="AJ161" s="80"/>
      <c r="AK161" s="80"/>
      <c r="AL161" s="80"/>
      <c r="AM161" s="80"/>
      <c r="AN161" s="80"/>
      <c r="AO161" s="87"/>
      <c r="AP161" s="87"/>
      <c r="AQ161" s="87"/>
      <c r="AR161" s="87"/>
      <c r="AS161" s="87"/>
      <c r="AT161" s="87"/>
      <c r="AU161" s="87"/>
      <c r="AV161" s="87"/>
      <c r="AW161" s="87"/>
      <c r="AX161" s="87"/>
      <c r="AY161" s="87"/>
      <c r="AZ161" s="87"/>
    </row>
    <row r="162" spans="1:253">
      <c r="B162" s="46"/>
      <c r="C162" s="46"/>
      <c r="D162" s="46"/>
      <c r="E162" s="51"/>
      <c r="F162" s="51"/>
      <c r="G162" s="51"/>
      <c r="H162" s="51"/>
      <c r="I162" s="51"/>
      <c r="J162" s="51"/>
      <c r="K162" s="51"/>
      <c r="L162" s="51"/>
      <c r="M162" s="51"/>
      <c r="N162" s="51"/>
      <c r="O162" s="51"/>
      <c r="P162" s="51"/>
      <c r="Q162" s="83"/>
      <c r="R162" s="83"/>
      <c r="S162" s="84"/>
      <c r="T162" s="84"/>
      <c r="U162" s="84"/>
      <c r="V162" s="84"/>
      <c r="W162" s="84"/>
      <c r="X162" s="84"/>
      <c r="Y162" s="84"/>
      <c r="Z162" s="84"/>
      <c r="AA162" s="84"/>
      <c r="AB162" s="84"/>
      <c r="AC162" s="80"/>
      <c r="AD162" s="80"/>
      <c r="AE162" s="80"/>
      <c r="AF162" s="80"/>
      <c r="AG162" s="80"/>
      <c r="AH162" s="80"/>
      <c r="AI162" s="80"/>
      <c r="AJ162" s="80"/>
      <c r="AK162" s="80"/>
      <c r="AL162" s="80"/>
      <c r="AM162" s="80"/>
      <c r="AN162" s="80"/>
      <c r="AO162" s="87"/>
      <c r="AP162" s="87"/>
      <c r="AQ162" s="87"/>
      <c r="AR162" s="87"/>
      <c r="AS162" s="87"/>
      <c r="AT162" s="87"/>
      <c r="AU162" s="87"/>
      <c r="AV162" s="87"/>
      <c r="AW162" s="87"/>
      <c r="AX162" s="87"/>
      <c r="AY162" s="87"/>
      <c r="AZ162" s="87"/>
    </row>
    <row r="163" spans="1:253" s="7" customFormat="1">
      <c r="A163" s="1"/>
      <c r="B163" s="46"/>
      <c r="C163" s="46"/>
      <c r="D163" s="46"/>
      <c r="E163" s="51"/>
      <c r="F163" s="51"/>
      <c r="G163" s="51"/>
      <c r="H163" s="51"/>
      <c r="I163" s="51"/>
      <c r="J163" s="51"/>
      <c r="K163" s="51"/>
      <c r="L163" s="51"/>
      <c r="M163" s="51"/>
      <c r="N163" s="51"/>
      <c r="O163" s="51"/>
      <c r="P163" s="51"/>
      <c r="Q163" s="83"/>
      <c r="R163" s="83"/>
      <c r="S163" s="84"/>
      <c r="T163" s="84"/>
      <c r="U163" s="84"/>
      <c r="V163" s="84"/>
      <c r="W163" s="84"/>
      <c r="X163" s="84"/>
      <c r="Y163" s="84"/>
      <c r="Z163" s="84"/>
      <c r="AA163" s="84"/>
      <c r="AB163" s="84"/>
      <c r="AC163" s="80"/>
      <c r="AD163" s="80"/>
      <c r="AE163" s="80"/>
      <c r="AF163" s="80"/>
      <c r="AG163" s="80"/>
      <c r="AH163" s="80"/>
      <c r="AI163" s="80"/>
      <c r="AJ163" s="80"/>
      <c r="AK163" s="80"/>
      <c r="AL163" s="80"/>
      <c r="AM163" s="80"/>
      <c r="AN163" s="80"/>
      <c r="AO163" s="87"/>
      <c r="AP163" s="87"/>
      <c r="AQ163" s="87"/>
      <c r="AR163" s="87"/>
      <c r="AS163" s="87"/>
      <c r="AT163" s="87"/>
      <c r="AU163" s="87"/>
      <c r="AV163" s="87"/>
      <c r="AW163" s="87"/>
      <c r="AX163" s="87"/>
      <c r="AY163" s="87"/>
      <c r="AZ163" s="87"/>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c r="IS163" s="8"/>
    </row>
    <row r="164" spans="1:253" s="7" customFormat="1">
      <c r="A164" s="1"/>
      <c r="B164" s="46"/>
      <c r="C164" s="46"/>
      <c r="D164" s="46"/>
      <c r="E164" s="51"/>
      <c r="F164" s="51"/>
      <c r="G164" s="51"/>
      <c r="H164" s="51"/>
      <c r="I164" s="51"/>
      <c r="J164" s="51"/>
      <c r="K164" s="51"/>
      <c r="L164" s="51"/>
      <c r="M164" s="51"/>
      <c r="N164" s="51"/>
      <c r="O164" s="51"/>
      <c r="P164" s="51"/>
      <c r="Q164" s="83"/>
      <c r="R164" s="83"/>
      <c r="S164" s="84"/>
      <c r="T164" s="84"/>
      <c r="U164" s="84"/>
      <c r="V164" s="84"/>
      <c r="W164" s="84"/>
      <c r="X164" s="84"/>
      <c r="Y164" s="84"/>
      <c r="Z164" s="84"/>
      <c r="AA164" s="84"/>
      <c r="AB164" s="84"/>
      <c r="AC164" s="80"/>
      <c r="AD164" s="80"/>
      <c r="AE164" s="80"/>
      <c r="AF164" s="80"/>
      <c r="AG164" s="80"/>
      <c r="AH164" s="80"/>
      <c r="AI164" s="80"/>
      <c r="AJ164" s="80"/>
      <c r="AK164" s="80"/>
      <c r="AL164" s="80"/>
      <c r="AM164" s="80"/>
      <c r="AN164" s="80"/>
      <c r="AO164" s="87"/>
      <c r="AP164" s="87"/>
      <c r="AQ164" s="87"/>
      <c r="AR164" s="87"/>
      <c r="AS164" s="87"/>
      <c r="AT164" s="87"/>
      <c r="AU164" s="87"/>
      <c r="AV164" s="87"/>
      <c r="AW164" s="87"/>
      <c r="AX164" s="87"/>
      <c r="AY164" s="87"/>
      <c r="AZ164" s="87"/>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c r="IS164" s="8"/>
    </row>
    <row r="165" spans="1:253" s="7" customFormat="1">
      <c r="A165" s="1"/>
      <c r="B165" s="46"/>
      <c r="C165" s="46"/>
      <c r="D165" s="46"/>
      <c r="E165" s="51"/>
      <c r="F165" s="51"/>
      <c r="G165" s="51"/>
      <c r="H165" s="51"/>
      <c r="I165" s="51"/>
      <c r="J165" s="51"/>
      <c r="K165" s="51"/>
      <c r="L165" s="51"/>
      <c r="M165" s="51"/>
      <c r="N165" s="51"/>
      <c r="O165" s="51"/>
      <c r="P165" s="51"/>
      <c r="Q165" s="83"/>
      <c r="R165" s="83"/>
      <c r="S165" s="84"/>
      <c r="T165" s="84"/>
      <c r="U165" s="84"/>
      <c r="V165" s="84"/>
      <c r="W165" s="84"/>
      <c r="X165" s="84"/>
      <c r="Y165" s="84"/>
      <c r="Z165" s="84"/>
      <c r="AA165" s="84"/>
      <c r="AB165" s="84"/>
      <c r="AC165" s="80"/>
      <c r="AD165" s="80"/>
      <c r="AE165" s="80"/>
      <c r="AF165" s="80"/>
      <c r="AG165" s="80"/>
      <c r="AH165" s="80"/>
      <c r="AI165" s="80"/>
      <c r="AJ165" s="80"/>
      <c r="AK165" s="80"/>
      <c r="AL165" s="80"/>
      <c r="AM165" s="80"/>
      <c r="AN165" s="80"/>
      <c r="AO165" s="87"/>
      <c r="AP165" s="87"/>
      <c r="AQ165" s="87"/>
      <c r="AR165" s="87"/>
      <c r="AS165" s="87"/>
      <c r="AT165" s="87"/>
      <c r="AU165" s="87"/>
      <c r="AV165" s="87"/>
      <c r="AW165" s="87"/>
      <c r="AX165" s="87"/>
      <c r="AY165" s="87"/>
      <c r="AZ165" s="87"/>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row>
    <row r="166" spans="1:253" s="7" customFormat="1">
      <c r="A166" s="1"/>
      <c r="B166" s="46"/>
      <c r="C166" s="46"/>
      <c r="D166" s="46"/>
      <c r="E166" s="51"/>
      <c r="F166" s="51"/>
      <c r="G166" s="51"/>
      <c r="H166" s="51"/>
      <c r="I166" s="51"/>
      <c r="J166" s="51"/>
      <c r="K166" s="51"/>
      <c r="L166" s="51"/>
      <c r="M166" s="51"/>
      <c r="N166" s="51"/>
      <c r="O166" s="51"/>
      <c r="P166" s="51"/>
      <c r="Q166" s="83"/>
      <c r="R166" s="83"/>
      <c r="S166" s="84"/>
      <c r="T166" s="84"/>
      <c r="U166" s="84"/>
      <c r="V166" s="84"/>
      <c r="W166" s="84"/>
      <c r="X166" s="84"/>
      <c r="Y166" s="84"/>
      <c r="Z166" s="84"/>
      <c r="AA166" s="84"/>
      <c r="AB166" s="84"/>
      <c r="AC166" s="80"/>
      <c r="AD166" s="80"/>
      <c r="AE166" s="80"/>
      <c r="AF166" s="80"/>
      <c r="AG166" s="80"/>
      <c r="AH166" s="80"/>
      <c r="AI166" s="80"/>
      <c r="AJ166" s="80"/>
      <c r="AK166" s="80"/>
      <c r="AL166" s="80"/>
      <c r="AM166" s="80"/>
      <c r="AN166" s="80"/>
      <c r="AO166" s="87"/>
      <c r="AP166" s="87"/>
      <c r="AQ166" s="87"/>
      <c r="AR166" s="87"/>
      <c r="AS166" s="87"/>
      <c r="AT166" s="87"/>
      <c r="AU166" s="87"/>
      <c r="AV166" s="87"/>
      <c r="AW166" s="87"/>
      <c r="AX166" s="87"/>
      <c r="AY166" s="87"/>
      <c r="AZ166" s="87"/>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c r="IS166" s="8"/>
    </row>
    <row r="167" spans="1:253" s="7" customFormat="1">
      <c r="A167" s="1"/>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c r="IS167" s="8"/>
    </row>
    <row r="168" spans="1:253" s="7" customFormat="1">
      <c r="A168" s="1"/>
      <c r="B168" s="7" t="s">
        <v>261</v>
      </c>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c r="IM168" s="8"/>
      <c r="IN168" s="8"/>
      <c r="IO168" s="8"/>
      <c r="IP168" s="8"/>
      <c r="IQ168" s="8"/>
      <c r="IR168" s="8"/>
      <c r="IS168" s="8"/>
    </row>
    <row r="169" spans="1:253" s="7" customFormat="1">
      <c r="A169" s="1"/>
      <c r="B169" s="7" t="s">
        <v>262</v>
      </c>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c r="IM169" s="8"/>
      <c r="IN169" s="8"/>
      <c r="IO169" s="8"/>
      <c r="IP169" s="8"/>
      <c r="IQ169" s="8"/>
    </row>
    <row r="170" spans="1:253" s="7" customFormat="1">
      <c r="A170" s="1"/>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c r="IM170" s="8"/>
      <c r="IN170" s="8"/>
      <c r="IO170" s="8"/>
      <c r="IP170" s="8"/>
      <c r="IQ170" s="8"/>
    </row>
    <row r="171" spans="1:253" s="7" customFormat="1">
      <c r="A171" s="1"/>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row>
    <row r="172" spans="1:253" s="7" customFormat="1">
      <c r="A172" s="1"/>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c r="IM172" s="8"/>
      <c r="IN172" s="8"/>
      <c r="IO172" s="8"/>
      <c r="IP172" s="8"/>
      <c r="IQ172" s="8"/>
    </row>
    <row r="173" spans="1:253" s="7" customFormat="1">
      <c r="A173" s="1"/>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c r="IM173" s="8"/>
      <c r="IN173" s="8"/>
      <c r="IO173" s="8"/>
      <c r="IP173" s="8"/>
      <c r="IQ173" s="8"/>
    </row>
    <row r="174" spans="1:253" s="7" customFormat="1">
      <c r="A174" s="1"/>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c r="IM174" s="8"/>
      <c r="IN174" s="8"/>
      <c r="IO174" s="8"/>
      <c r="IP174" s="8"/>
      <c r="IQ174" s="8"/>
    </row>
    <row r="175" spans="1:253" s="7" customFormat="1">
      <c r="A175" s="1"/>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c r="IH175" s="8"/>
      <c r="II175" s="8"/>
      <c r="IJ175" s="8"/>
      <c r="IK175" s="8"/>
      <c r="IL175" s="8"/>
      <c r="IM175" s="8"/>
      <c r="IN175" s="8"/>
      <c r="IO175" s="8"/>
      <c r="IP175" s="8"/>
      <c r="IQ175" s="8"/>
    </row>
    <row r="176" spans="1:253" s="7" customFormat="1">
      <c r="A176" s="1"/>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c r="IH176" s="8"/>
      <c r="II176" s="8"/>
      <c r="IJ176" s="8"/>
      <c r="IK176" s="8"/>
      <c r="IL176" s="8"/>
      <c r="IM176" s="8"/>
      <c r="IN176" s="8"/>
      <c r="IO176" s="8"/>
      <c r="IP176" s="8"/>
      <c r="IQ176" s="8"/>
    </row>
    <row r="177" spans="1:251" s="7" customFormat="1">
      <c r="A177" s="1"/>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c r="IH177" s="8"/>
      <c r="II177" s="8"/>
      <c r="IJ177" s="8"/>
      <c r="IK177" s="8"/>
      <c r="IL177" s="8"/>
      <c r="IM177" s="8"/>
      <c r="IN177" s="8"/>
      <c r="IO177" s="8"/>
      <c r="IP177" s="8"/>
      <c r="IQ177" s="8"/>
    </row>
    <row r="178" spans="1:251" s="7" customFormat="1">
      <c r="A178" s="1"/>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c r="IH178" s="8"/>
      <c r="II178" s="8"/>
      <c r="IJ178" s="8"/>
      <c r="IK178" s="8"/>
      <c r="IL178" s="8"/>
      <c r="IM178" s="8"/>
      <c r="IN178" s="8"/>
      <c r="IO178" s="8"/>
      <c r="IP178" s="8"/>
      <c r="IQ178" s="8"/>
    </row>
    <row r="179" spans="1:251" s="7" customFormat="1">
      <c r="A179" s="1"/>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c r="IH179" s="8"/>
      <c r="II179" s="8"/>
      <c r="IJ179" s="8"/>
      <c r="IK179" s="8"/>
      <c r="IL179" s="8"/>
      <c r="IM179" s="8"/>
      <c r="IN179" s="8"/>
      <c r="IO179" s="8"/>
      <c r="IP179" s="8"/>
      <c r="IQ179" s="8"/>
    </row>
    <row r="180" spans="1:251" s="7" customFormat="1">
      <c r="A180" s="1"/>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c r="IH180" s="8"/>
      <c r="II180" s="8"/>
      <c r="IJ180" s="8"/>
      <c r="IK180" s="8"/>
      <c r="IL180" s="8"/>
      <c r="IM180" s="8"/>
      <c r="IN180" s="8"/>
      <c r="IO180" s="8"/>
      <c r="IP180" s="8"/>
      <c r="IQ180" s="8"/>
    </row>
    <row r="181" spans="1:251" s="7" customFormat="1">
      <c r="A181" s="1"/>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c r="IH181" s="8"/>
      <c r="II181" s="8"/>
      <c r="IJ181" s="8"/>
      <c r="IK181" s="8"/>
      <c r="IL181" s="8"/>
      <c r="IM181" s="8"/>
      <c r="IN181" s="8"/>
      <c r="IO181" s="8"/>
      <c r="IP181" s="8"/>
      <c r="IQ181" s="8"/>
    </row>
    <row r="182" spans="1:251" s="7" customFormat="1">
      <c r="A182" s="1"/>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c r="IE182" s="8"/>
      <c r="IF182" s="8"/>
      <c r="IG182" s="8"/>
      <c r="IH182" s="8"/>
      <c r="II182" s="8"/>
      <c r="IJ182" s="8"/>
      <c r="IK182" s="8"/>
      <c r="IL182" s="8"/>
      <c r="IM182" s="8"/>
      <c r="IN182" s="8"/>
      <c r="IO182" s="8"/>
      <c r="IP182" s="8"/>
      <c r="IQ182" s="8"/>
    </row>
    <row r="183" spans="1:251" s="7" customFormat="1">
      <c r="A183" s="1"/>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c r="IB183" s="8"/>
      <c r="IC183" s="8"/>
      <c r="ID183" s="8"/>
      <c r="IE183" s="8"/>
      <c r="IF183" s="8"/>
      <c r="IG183" s="8"/>
      <c r="IH183" s="8"/>
      <c r="II183" s="8"/>
      <c r="IJ183" s="8"/>
      <c r="IK183" s="8"/>
      <c r="IL183" s="8"/>
      <c r="IM183" s="8"/>
      <c r="IN183" s="8"/>
      <c r="IO183" s="8"/>
      <c r="IP183" s="8"/>
      <c r="IQ183" s="8"/>
    </row>
    <row r="184" spans="1:251" s="7" customFormat="1">
      <c r="A184" s="1"/>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c r="IH184" s="8"/>
      <c r="II184" s="8"/>
      <c r="IJ184" s="8"/>
      <c r="IK184" s="8"/>
      <c r="IL184" s="8"/>
      <c r="IM184" s="8"/>
      <c r="IN184" s="8"/>
      <c r="IO184" s="8"/>
      <c r="IP184" s="8"/>
      <c r="IQ184" s="8"/>
    </row>
    <row r="185" spans="1:251" s="7" customFormat="1">
      <c r="A185" s="1"/>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c r="IH185" s="8"/>
      <c r="II185" s="8"/>
      <c r="IJ185" s="8"/>
      <c r="IK185" s="8"/>
      <c r="IL185" s="8"/>
      <c r="IM185" s="8"/>
      <c r="IN185" s="8"/>
      <c r="IO185" s="8"/>
      <c r="IP185" s="8"/>
      <c r="IQ185" s="8"/>
    </row>
    <row r="186" spans="1:251" s="7" customFormat="1">
      <c r="A186" s="1"/>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c r="IH186" s="8"/>
      <c r="II186" s="8"/>
      <c r="IJ186" s="8"/>
      <c r="IK186" s="8"/>
      <c r="IL186" s="8"/>
      <c r="IM186" s="8"/>
      <c r="IN186" s="8"/>
      <c r="IO186" s="8"/>
      <c r="IP186" s="8"/>
      <c r="IQ186" s="8"/>
    </row>
    <row r="187" spans="1:251" s="7" customFormat="1">
      <c r="A187" s="1"/>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c r="IH187" s="8"/>
      <c r="II187" s="8"/>
      <c r="IJ187" s="8"/>
      <c r="IK187" s="8"/>
      <c r="IL187" s="8"/>
      <c r="IM187" s="8"/>
      <c r="IN187" s="8"/>
      <c r="IO187" s="8"/>
      <c r="IP187" s="8"/>
      <c r="IQ187" s="8"/>
    </row>
    <row r="188" spans="1:251" s="7" customFormat="1">
      <c r="A188" s="1"/>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c r="IE188" s="8"/>
      <c r="IF188" s="8"/>
      <c r="IG188" s="8"/>
      <c r="IH188" s="8"/>
      <c r="II188" s="8"/>
      <c r="IJ188" s="8"/>
      <c r="IK188" s="8"/>
      <c r="IL188" s="8"/>
      <c r="IM188" s="8"/>
      <c r="IN188" s="8"/>
      <c r="IO188" s="8"/>
      <c r="IP188" s="8"/>
      <c r="IQ188" s="8"/>
    </row>
    <row r="189" spans="1:251" s="7" customFormat="1">
      <c r="A189" s="1"/>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c r="IH189" s="8"/>
      <c r="II189" s="8"/>
      <c r="IJ189" s="8"/>
      <c r="IK189" s="8"/>
      <c r="IL189" s="8"/>
      <c r="IM189" s="8"/>
      <c r="IN189" s="8"/>
      <c r="IO189" s="8"/>
      <c r="IP189" s="8"/>
      <c r="IQ189" s="8"/>
    </row>
    <row r="190" spans="1:251" s="7" customFormat="1">
      <c r="A190" s="1"/>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c r="IM190" s="8"/>
      <c r="IN190" s="8"/>
      <c r="IO190" s="8"/>
      <c r="IP190" s="8"/>
      <c r="IQ190" s="8"/>
    </row>
    <row r="191" spans="1:251" s="7" customFormat="1">
      <c r="A191" s="1"/>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c r="IE191" s="8"/>
      <c r="IF191" s="8"/>
      <c r="IG191" s="8"/>
      <c r="IH191" s="8"/>
      <c r="II191" s="8"/>
      <c r="IJ191" s="8"/>
      <c r="IK191" s="8"/>
      <c r="IL191" s="8"/>
      <c r="IM191" s="8"/>
      <c r="IN191" s="8"/>
      <c r="IO191" s="8"/>
      <c r="IP191" s="8"/>
      <c r="IQ191" s="8"/>
    </row>
    <row r="192" spans="1:251" s="7" customFormat="1">
      <c r="A192" s="1"/>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c r="IE192" s="8"/>
      <c r="IF192" s="8"/>
      <c r="IG192" s="8"/>
      <c r="IH192" s="8"/>
      <c r="II192" s="8"/>
      <c r="IJ192" s="8"/>
      <c r="IK192" s="8"/>
      <c r="IL192" s="8"/>
      <c r="IM192" s="8"/>
      <c r="IN192" s="8"/>
      <c r="IO192" s="8"/>
      <c r="IP192" s="8"/>
      <c r="IQ192" s="8"/>
    </row>
    <row r="193" spans="1:251" s="7" customFormat="1">
      <c r="A193" s="1"/>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c r="IB193" s="8"/>
      <c r="IC193" s="8"/>
      <c r="ID193" s="8"/>
      <c r="IE193" s="8"/>
      <c r="IF193" s="8"/>
      <c r="IG193" s="8"/>
      <c r="IH193" s="8"/>
      <c r="II193" s="8"/>
      <c r="IJ193" s="8"/>
      <c r="IK193" s="8"/>
      <c r="IL193" s="8"/>
      <c r="IM193" s="8"/>
      <c r="IN193" s="8"/>
      <c r="IO193" s="8"/>
      <c r="IP193" s="8"/>
      <c r="IQ193" s="8"/>
    </row>
    <row r="194" spans="1:251" s="7" customFormat="1">
      <c r="A194" s="1"/>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c r="IE194" s="8"/>
      <c r="IF194" s="8"/>
      <c r="IG194" s="8"/>
      <c r="IH194" s="8"/>
      <c r="II194" s="8"/>
      <c r="IJ194" s="8"/>
      <c r="IK194" s="8"/>
      <c r="IL194" s="8"/>
      <c r="IM194" s="8"/>
      <c r="IN194" s="8"/>
      <c r="IO194" s="8"/>
      <c r="IP194" s="8"/>
      <c r="IQ194" s="8"/>
    </row>
    <row r="195" spans="1:251" s="7" customFormat="1">
      <c r="A195" s="1"/>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c r="IB195" s="8"/>
      <c r="IC195" s="8"/>
      <c r="ID195" s="8"/>
      <c r="IE195" s="8"/>
      <c r="IF195" s="8"/>
      <c r="IG195" s="8"/>
      <c r="IH195" s="8"/>
      <c r="II195" s="8"/>
      <c r="IJ195" s="8"/>
      <c r="IK195" s="8"/>
      <c r="IL195" s="8"/>
      <c r="IM195" s="8"/>
      <c r="IN195" s="8"/>
      <c r="IO195" s="8"/>
      <c r="IP195" s="8"/>
      <c r="IQ195" s="8"/>
    </row>
    <row r="196" spans="1:251" s="7" customFormat="1">
      <c r="A196" s="1"/>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row>
    <row r="197" spans="1:251" s="7" customFormat="1">
      <c r="A197" s="1"/>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c r="IM197" s="8"/>
      <c r="IN197" s="8"/>
      <c r="IO197" s="8"/>
      <c r="IP197" s="8"/>
      <c r="IQ197" s="8"/>
    </row>
    <row r="198" spans="1:251" s="7" customFormat="1">
      <c r="A198" s="1"/>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c r="IM198" s="8"/>
      <c r="IN198" s="8"/>
      <c r="IO198" s="8"/>
      <c r="IP198" s="8"/>
      <c r="IQ198" s="8"/>
    </row>
    <row r="199" spans="1:251" s="7" customFormat="1">
      <c r="A199" s="1"/>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c r="IM199" s="8"/>
      <c r="IN199" s="8"/>
      <c r="IO199" s="8"/>
      <c r="IP199" s="8"/>
      <c r="IQ199" s="8"/>
    </row>
    <row r="200" spans="1:251" s="7" customFormat="1">
      <c r="A200" s="1"/>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c r="IE200" s="8"/>
      <c r="IF200" s="8"/>
      <c r="IG200" s="8"/>
      <c r="IH200" s="8"/>
      <c r="II200" s="8"/>
      <c r="IJ200" s="8"/>
      <c r="IK200" s="8"/>
      <c r="IL200" s="8"/>
      <c r="IM200" s="8"/>
      <c r="IN200" s="8"/>
      <c r="IO200" s="8"/>
      <c r="IP200" s="8"/>
      <c r="IQ200" s="8"/>
    </row>
    <row r="201" spans="1:251" s="7" customFormat="1">
      <c r="A201" s="1"/>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c r="IE201" s="8"/>
      <c r="IF201" s="8"/>
      <c r="IG201" s="8"/>
      <c r="IH201" s="8"/>
      <c r="II201" s="8"/>
      <c r="IJ201" s="8"/>
      <c r="IK201" s="8"/>
      <c r="IL201" s="8"/>
      <c r="IM201" s="8"/>
      <c r="IN201" s="8"/>
      <c r="IO201" s="8"/>
      <c r="IP201" s="8"/>
      <c r="IQ201" s="8"/>
    </row>
    <row r="202" spans="1:251" s="7" customFormat="1">
      <c r="A202" s="1"/>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c r="IM202" s="8"/>
      <c r="IN202" s="8"/>
      <c r="IO202" s="8"/>
      <c r="IP202" s="8"/>
      <c r="IQ202" s="8"/>
    </row>
    <row r="203" spans="1:251" s="7" customFormat="1">
      <c r="A203" s="1"/>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c r="HX203" s="8"/>
      <c r="HY203" s="8"/>
      <c r="HZ203" s="8"/>
      <c r="IA203" s="8"/>
      <c r="IB203" s="8"/>
      <c r="IC203" s="8"/>
      <c r="ID203" s="8"/>
      <c r="IE203" s="8"/>
      <c r="IF203" s="8"/>
      <c r="IG203" s="8"/>
      <c r="IH203" s="8"/>
      <c r="II203" s="8"/>
      <c r="IJ203" s="8"/>
      <c r="IK203" s="8"/>
      <c r="IL203" s="8"/>
      <c r="IM203" s="8"/>
      <c r="IN203" s="8"/>
      <c r="IO203" s="8"/>
      <c r="IP203" s="8"/>
      <c r="IQ203" s="8"/>
    </row>
    <row r="204" spans="1:251" s="7" customFormat="1">
      <c r="A204" s="1"/>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c r="IB204" s="8"/>
      <c r="IC204" s="8"/>
      <c r="ID204" s="8"/>
      <c r="IE204" s="8"/>
      <c r="IF204" s="8"/>
      <c r="IG204" s="8"/>
      <c r="IH204" s="8"/>
      <c r="II204" s="8"/>
      <c r="IJ204" s="8"/>
      <c r="IK204" s="8"/>
      <c r="IL204" s="8"/>
      <c r="IM204" s="8"/>
      <c r="IN204" s="8"/>
      <c r="IO204" s="8"/>
      <c r="IP204" s="8"/>
      <c r="IQ204" s="8"/>
    </row>
    <row r="205" spans="1:251" s="7" customFormat="1">
      <c r="A205" s="1"/>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c r="IM205" s="8"/>
      <c r="IN205" s="8"/>
      <c r="IO205" s="8"/>
      <c r="IP205" s="8"/>
      <c r="IQ205" s="8"/>
    </row>
    <row r="206" spans="1:251" s="7" customFormat="1">
      <c r="A206" s="1"/>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row>
    <row r="207" spans="1:251" s="7" customFormat="1">
      <c r="A207" s="1"/>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row>
    <row r="208" spans="1:251" s="7" customFormat="1">
      <c r="A208" s="1"/>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c r="IM208" s="8"/>
      <c r="IN208" s="8"/>
      <c r="IO208" s="8"/>
      <c r="IP208" s="8"/>
      <c r="IQ208" s="8"/>
    </row>
    <row r="209" spans="1:251" s="7" customFormat="1">
      <c r="A209" s="1"/>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row>
    <row r="210" spans="1:251" s="7" customFormat="1">
      <c r="A210" s="1"/>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row>
    <row r="211" spans="1:251" s="7" customFormat="1">
      <c r="A211" s="1"/>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c r="HU211" s="8"/>
      <c r="HV211" s="8"/>
      <c r="HW211" s="8"/>
      <c r="HX211" s="8"/>
      <c r="HY211" s="8"/>
      <c r="HZ211" s="8"/>
      <c r="IA211" s="8"/>
      <c r="IB211" s="8"/>
      <c r="IC211" s="8"/>
      <c r="ID211" s="8"/>
      <c r="IE211" s="8"/>
      <c r="IF211" s="8"/>
      <c r="IG211" s="8"/>
      <c r="IH211" s="8"/>
      <c r="II211" s="8"/>
      <c r="IJ211" s="8"/>
      <c r="IK211" s="8"/>
      <c r="IL211" s="8"/>
      <c r="IM211" s="8"/>
      <c r="IN211" s="8"/>
      <c r="IO211" s="8"/>
      <c r="IP211" s="8"/>
      <c r="IQ211" s="8"/>
    </row>
    <row r="212" spans="1:251" s="7" customFormat="1">
      <c r="A212" s="1"/>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c r="HU212" s="8"/>
      <c r="HV212" s="8"/>
      <c r="HW212" s="8"/>
      <c r="HX212" s="8"/>
      <c r="HY212" s="8"/>
      <c r="HZ212" s="8"/>
      <c r="IA212" s="8"/>
      <c r="IB212" s="8"/>
      <c r="IC212" s="8"/>
      <c r="ID212" s="8"/>
      <c r="IE212" s="8"/>
      <c r="IF212" s="8"/>
      <c r="IG212" s="8"/>
      <c r="IH212" s="8"/>
      <c r="II212" s="8"/>
      <c r="IJ212" s="8"/>
      <c r="IK212" s="8"/>
      <c r="IL212" s="8"/>
      <c r="IM212" s="8"/>
      <c r="IN212" s="8"/>
      <c r="IO212" s="8"/>
      <c r="IP212" s="8"/>
      <c r="IQ212" s="8"/>
    </row>
    <row r="213" spans="1:251" s="7" customFormat="1">
      <c r="A213" s="1"/>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c r="HU213" s="8"/>
      <c r="HV213" s="8"/>
      <c r="HW213" s="8"/>
      <c r="HX213" s="8"/>
      <c r="HY213" s="8"/>
      <c r="HZ213" s="8"/>
      <c r="IA213" s="8"/>
      <c r="IB213" s="8"/>
      <c r="IC213" s="8"/>
      <c r="ID213" s="8"/>
      <c r="IE213" s="8"/>
      <c r="IF213" s="8"/>
      <c r="IG213" s="8"/>
      <c r="IH213" s="8"/>
      <c r="II213" s="8"/>
      <c r="IJ213" s="8"/>
      <c r="IK213" s="8"/>
      <c r="IL213" s="8"/>
      <c r="IM213" s="8"/>
      <c r="IN213" s="8"/>
      <c r="IO213" s="8"/>
      <c r="IP213" s="8"/>
      <c r="IQ213" s="8"/>
    </row>
    <row r="214" spans="1:251" s="7" customFormat="1">
      <c r="A214" s="1"/>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c r="HU214" s="8"/>
      <c r="HV214" s="8"/>
      <c r="HW214" s="8"/>
      <c r="HX214" s="8"/>
      <c r="HY214" s="8"/>
      <c r="HZ214" s="8"/>
      <c r="IA214" s="8"/>
      <c r="IB214" s="8"/>
      <c r="IC214" s="8"/>
      <c r="ID214" s="8"/>
      <c r="IE214" s="8"/>
      <c r="IF214" s="8"/>
      <c r="IG214" s="8"/>
      <c r="IH214" s="8"/>
      <c r="II214" s="8"/>
      <c r="IJ214" s="8"/>
      <c r="IK214" s="8"/>
      <c r="IL214" s="8"/>
      <c r="IM214" s="8"/>
      <c r="IN214" s="8"/>
      <c r="IO214" s="8"/>
      <c r="IP214" s="8"/>
      <c r="IQ214" s="8"/>
    </row>
    <row r="215" spans="1:251" s="7" customFormat="1">
      <c r="A215" s="1"/>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c r="IA215" s="8"/>
      <c r="IB215" s="8"/>
      <c r="IC215" s="8"/>
      <c r="ID215" s="8"/>
      <c r="IE215" s="8"/>
      <c r="IF215" s="8"/>
      <c r="IG215" s="8"/>
      <c r="IH215" s="8"/>
      <c r="II215" s="8"/>
      <c r="IJ215" s="8"/>
      <c r="IK215" s="8"/>
      <c r="IL215" s="8"/>
      <c r="IM215" s="8"/>
      <c r="IN215" s="8"/>
      <c r="IO215" s="8"/>
      <c r="IP215" s="8"/>
      <c r="IQ215" s="8"/>
    </row>
    <row r="216" spans="1:251" s="7" customFormat="1">
      <c r="A216" s="1"/>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c r="IE216" s="8"/>
      <c r="IF216" s="8"/>
      <c r="IG216" s="8"/>
      <c r="IH216" s="8"/>
      <c r="II216" s="8"/>
      <c r="IJ216" s="8"/>
      <c r="IK216" s="8"/>
      <c r="IL216" s="8"/>
      <c r="IM216" s="8"/>
      <c r="IN216" s="8"/>
      <c r="IO216" s="8"/>
      <c r="IP216" s="8"/>
      <c r="IQ216" s="8"/>
    </row>
    <row r="217" spans="1:251" s="7" customFormat="1">
      <c r="A217" s="1"/>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c r="IB217" s="8"/>
      <c r="IC217" s="8"/>
      <c r="ID217" s="8"/>
      <c r="IE217" s="8"/>
      <c r="IF217" s="8"/>
      <c r="IG217" s="8"/>
      <c r="IH217" s="8"/>
      <c r="II217" s="8"/>
      <c r="IJ217" s="8"/>
      <c r="IK217" s="8"/>
      <c r="IL217" s="8"/>
      <c r="IM217" s="8"/>
      <c r="IN217" s="8"/>
      <c r="IO217" s="8"/>
      <c r="IP217" s="8"/>
      <c r="IQ217" s="8"/>
    </row>
    <row r="218" spans="1:251" s="7" customFormat="1">
      <c r="A218" s="1"/>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c r="IB218" s="8"/>
      <c r="IC218" s="8"/>
      <c r="ID218" s="8"/>
      <c r="IE218" s="8"/>
      <c r="IF218" s="8"/>
      <c r="IG218" s="8"/>
      <c r="IH218" s="8"/>
      <c r="II218" s="8"/>
      <c r="IJ218" s="8"/>
      <c r="IK218" s="8"/>
      <c r="IL218" s="8"/>
      <c r="IM218" s="8"/>
      <c r="IN218" s="8"/>
      <c r="IO218" s="8"/>
      <c r="IP218" s="8"/>
      <c r="IQ218" s="8"/>
    </row>
    <row r="219" spans="1:251" s="7" customFormat="1">
      <c r="A219" s="1"/>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c r="HU219" s="8"/>
      <c r="HV219" s="8"/>
      <c r="HW219" s="8"/>
      <c r="HX219" s="8"/>
      <c r="HY219" s="8"/>
      <c r="HZ219" s="8"/>
      <c r="IA219" s="8"/>
      <c r="IB219" s="8"/>
      <c r="IC219" s="8"/>
      <c r="ID219" s="8"/>
      <c r="IE219" s="8"/>
      <c r="IF219" s="8"/>
      <c r="IG219" s="8"/>
      <c r="IH219" s="8"/>
      <c r="II219" s="8"/>
      <c r="IJ219" s="8"/>
      <c r="IK219" s="8"/>
      <c r="IL219" s="8"/>
      <c r="IM219" s="8"/>
      <c r="IN219" s="8"/>
      <c r="IO219" s="8"/>
      <c r="IP219" s="8"/>
      <c r="IQ219" s="8"/>
    </row>
    <row r="220" spans="1:251" s="7" customFormat="1">
      <c r="A220" s="1"/>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c r="IB220" s="8"/>
      <c r="IC220" s="8"/>
      <c r="ID220" s="8"/>
      <c r="IE220" s="8"/>
      <c r="IF220" s="8"/>
      <c r="IG220" s="8"/>
      <c r="IH220" s="8"/>
      <c r="II220" s="8"/>
      <c r="IJ220" s="8"/>
      <c r="IK220" s="8"/>
      <c r="IL220" s="8"/>
      <c r="IM220" s="8"/>
      <c r="IN220" s="8"/>
      <c r="IO220" s="8"/>
      <c r="IP220" s="8"/>
      <c r="IQ220" s="8"/>
    </row>
    <row r="221" spans="1:251" s="7" customFormat="1">
      <c r="A221" s="1"/>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c r="IB221" s="8"/>
      <c r="IC221" s="8"/>
      <c r="ID221" s="8"/>
      <c r="IE221" s="8"/>
      <c r="IF221" s="8"/>
      <c r="IG221" s="8"/>
      <c r="IH221" s="8"/>
      <c r="II221" s="8"/>
      <c r="IJ221" s="8"/>
      <c r="IK221" s="8"/>
      <c r="IL221" s="8"/>
      <c r="IM221" s="8"/>
      <c r="IN221" s="8"/>
      <c r="IO221" s="8"/>
      <c r="IP221" s="8"/>
      <c r="IQ221" s="8"/>
    </row>
    <row r="222" spans="1:251" s="7" customFormat="1">
      <c r="A222" s="1"/>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c r="IE222" s="8"/>
      <c r="IF222" s="8"/>
      <c r="IG222" s="8"/>
      <c r="IH222" s="8"/>
      <c r="II222" s="8"/>
      <c r="IJ222" s="8"/>
      <c r="IK222" s="8"/>
      <c r="IL222" s="8"/>
      <c r="IM222" s="8"/>
      <c r="IN222" s="8"/>
      <c r="IO222" s="8"/>
      <c r="IP222" s="8"/>
      <c r="IQ222" s="8"/>
    </row>
    <row r="223" spans="1:251" s="7" customFormat="1">
      <c r="A223" s="1"/>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c r="HU223" s="8"/>
      <c r="HV223" s="8"/>
      <c r="HW223" s="8"/>
      <c r="HX223" s="8"/>
      <c r="HY223" s="8"/>
      <c r="HZ223" s="8"/>
      <c r="IA223" s="8"/>
      <c r="IB223" s="8"/>
      <c r="IC223" s="8"/>
      <c r="ID223" s="8"/>
      <c r="IE223" s="8"/>
      <c r="IF223" s="8"/>
      <c r="IG223" s="8"/>
      <c r="IH223" s="8"/>
      <c r="II223" s="8"/>
      <c r="IJ223" s="8"/>
      <c r="IK223" s="8"/>
      <c r="IL223" s="8"/>
      <c r="IM223" s="8"/>
      <c r="IN223" s="8"/>
      <c r="IO223" s="8"/>
      <c r="IP223" s="8"/>
      <c r="IQ223" s="8"/>
    </row>
    <row r="224" spans="1:251" s="7" customFormat="1">
      <c r="A224" s="1"/>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c r="IE224" s="8"/>
      <c r="IF224" s="8"/>
      <c r="IG224" s="8"/>
      <c r="IH224" s="8"/>
      <c r="II224" s="8"/>
      <c r="IJ224" s="8"/>
      <c r="IK224" s="8"/>
      <c r="IL224" s="8"/>
      <c r="IM224" s="8"/>
      <c r="IN224" s="8"/>
      <c r="IO224" s="8"/>
      <c r="IP224" s="8"/>
      <c r="IQ224" s="8"/>
    </row>
    <row r="225" spans="1:251" s="7" customFormat="1">
      <c r="A225" s="1"/>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c r="HU225" s="8"/>
      <c r="HV225" s="8"/>
      <c r="HW225" s="8"/>
      <c r="HX225" s="8"/>
      <c r="HY225" s="8"/>
      <c r="HZ225" s="8"/>
      <c r="IA225" s="8"/>
      <c r="IB225" s="8"/>
      <c r="IC225" s="8"/>
      <c r="ID225" s="8"/>
      <c r="IE225" s="8"/>
      <c r="IF225" s="8"/>
      <c r="IG225" s="8"/>
      <c r="IH225" s="8"/>
      <c r="II225" s="8"/>
      <c r="IJ225" s="8"/>
      <c r="IK225" s="8"/>
      <c r="IL225" s="8"/>
      <c r="IM225" s="8"/>
      <c r="IN225" s="8"/>
      <c r="IO225" s="8"/>
      <c r="IP225" s="8"/>
      <c r="IQ225" s="8"/>
    </row>
    <row r="226" spans="1:251" s="7" customFormat="1">
      <c r="A226" s="1"/>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c r="IE226" s="8"/>
      <c r="IF226" s="8"/>
      <c r="IG226" s="8"/>
      <c r="IH226" s="8"/>
      <c r="II226" s="8"/>
      <c r="IJ226" s="8"/>
      <c r="IK226" s="8"/>
      <c r="IL226" s="8"/>
      <c r="IM226" s="8"/>
      <c r="IN226" s="8"/>
      <c r="IO226" s="8"/>
      <c r="IP226" s="8"/>
      <c r="IQ226" s="8"/>
    </row>
    <row r="227" spans="1:251" s="7" customFormat="1">
      <c r="A227" s="1"/>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c r="HU227" s="8"/>
      <c r="HV227" s="8"/>
      <c r="HW227" s="8"/>
      <c r="HX227" s="8"/>
      <c r="HY227" s="8"/>
      <c r="HZ227" s="8"/>
      <c r="IA227" s="8"/>
      <c r="IB227" s="8"/>
      <c r="IC227" s="8"/>
      <c r="ID227" s="8"/>
      <c r="IE227" s="8"/>
      <c r="IF227" s="8"/>
      <c r="IG227" s="8"/>
      <c r="IH227" s="8"/>
      <c r="II227" s="8"/>
      <c r="IJ227" s="8"/>
      <c r="IK227" s="8"/>
      <c r="IL227" s="8"/>
      <c r="IM227" s="8"/>
      <c r="IN227" s="8"/>
      <c r="IO227" s="8"/>
      <c r="IP227" s="8"/>
      <c r="IQ227" s="8"/>
    </row>
    <row r="228" spans="1:251" s="7" customFormat="1">
      <c r="A228" s="1"/>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c r="IE228" s="8"/>
      <c r="IF228" s="8"/>
      <c r="IG228" s="8"/>
      <c r="IH228" s="8"/>
      <c r="II228" s="8"/>
      <c r="IJ228" s="8"/>
      <c r="IK228" s="8"/>
      <c r="IL228" s="8"/>
      <c r="IM228" s="8"/>
      <c r="IN228" s="8"/>
      <c r="IO228" s="8"/>
      <c r="IP228" s="8"/>
      <c r="IQ228" s="8"/>
    </row>
    <row r="229" spans="1:251" s="7" customFormat="1">
      <c r="A229" s="1"/>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c r="IM229" s="8"/>
      <c r="IN229" s="8"/>
      <c r="IO229" s="8"/>
      <c r="IP229" s="8"/>
      <c r="IQ229" s="8"/>
    </row>
    <row r="230" spans="1:251" s="7" customFormat="1">
      <c r="A230" s="1"/>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c r="IM230" s="8"/>
      <c r="IN230" s="8"/>
      <c r="IO230" s="8"/>
      <c r="IP230" s="8"/>
      <c r="IQ230" s="8"/>
    </row>
    <row r="231" spans="1:251" s="7" customFormat="1">
      <c r="A231" s="1"/>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c r="IM231" s="8"/>
      <c r="IN231" s="8"/>
      <c r="IO231" s="8"/>
      <c r="IP231" s="8"/>
      <c r="IQ231" s="8"/>
    </row>
    <row r="232" spans="1:251" s="7" customFormat="1">
      <c r="A232" s="1"/>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c r="IM232" s="8"/>
      <c r="IN232" s="8"/>
      <c r="IO232" s="8"/>
      <c r="IP232" s="8"/>
      <c r="IQ232" s="8"/>
    </row>
    <row r="233" spans="1:251" s="7" customFormat="1">
      <c r="A233" s="1"/>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8"/>
    </row>
    <row r="234" spans="1:251" s="7" customFormat="1">
      <c r="A234" s="1"/>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c r="IE234" s="8"/>
      <c r="IF234" s="8"/>
      <c r="IG234" s="8"/>
      <c r="IH234" s="8"/>
      <c r="II234" s="8"/>
      <c r="IJ234" s="8"/>
      <c r="IK234" s="8"/>
      <c r="IL234" s="8"/>
      <c r="IM234" s="8"/>
      <c r="IN234" s="8"/>
      <c r="IO234" s="8"/>
      <c r="IP234" s="8"/>
      <c r="IQ234" s="8"/>
    </row>
    <row r="235" spans="1:251" s="7" customFormat="1">
      <c r="A235" s="1"/>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c r="HU235" s="8"/>
      <c r="HV235" s="8"/>
      <c r="HW235" s="8"/>
      <c r="HX235" s="8"/>
      <c r="HY235" s="8"/>
      <c r="HZ235" s="8"/>
      <c r="IA235" s="8"/>
      <c r="IB235" s="8"/>
      <c r="IC235" s="8"/>
      <c r="ID235" s="8"/>
      <c r="IE235" s="8"/>
      <c r="IF235" s="8"/>
      <c r="IG235" s="8"/>
      <c r="IH235" s="8"/>
      <c r="II235" s="8"/>
      <c r="IJ235" s="8"/>
      <c r="IK235" s="8"/>
      <c r="IL235" s="8"/>
      <c r="IM235" s="8"/>
      <c r="IN235" s="8"/>
      <c r="IO235" s="8"/>
      <c r="IP235" s="8"/>
      <c r="IQ235" s="8"/>
    </row>
    <row r="236" spans="1:251" s="7" customFormat="1">
      <c r="A236" s="1"/>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c r="IB236" s="8"/>
      <c r="IC236" s="8"/>
      <c r="ID236" s="8"/>
      <c r="IE236" s="8"/>
      <c r="IF236" s="8"/>
      <c r="IG236" s="8"/>
      <c r="IH236" s="8"/>
      <c r="II236" s="8"/>
      <c r="IJ236" s="8"/>
      <c r="IK236" s="8"/>
      <c r="IL236" s="8"/>
      <c r="IM236" s="8"/>
      <c r="IN236" s="8"/>
      <c r="IO236" s="8"/>
      <c r="IP236" s="8"/>
      <c r="IQ236" s="8"/>
    </row>
    <row r="237" spans="1:251" s="7" customFormat="1">
      <c r="A237" s="1"/>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c r="IB237" s="8"/>
      <c r="IC237" s="8"/>
      <c r="ID237" s="8"/>
      <c r="IE237" s="8"/>
      <c r="IF237" s="8"/>
      <c r="IG237" s="8"/>
      <c r="IH237" s="8"/>
      <c r="II237" s="8"/>
      <c r="IJ237" s="8"/>
      <c r="IK237" s="8"/>
      <c r="IL237" s="8"/>
      <c r="IM237" s="8"/>
      <c r="IN237" s="8"/>
      <c r="IO237" s="8"/>
      <c r="IP237" s="8"/>
      <c r="IQ237" s="8"/>
    </row>
    <row r="238" spans="1:251" s="7" customFormat="1">
      <c r="A238" s="1"/>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c r="HU238" s="8"/>
      <c r="HV238" s="8"/>
      <c r="HW238" s="8"/>
      <c r="HX238" s="8"/>
      <c r="HY238" s="8"/>
      <c r="HZ238" s="8"/>
      <c r="IA238" s="8"/>
      <c r="IB238" s="8"/>
      <c r="IC238" s="8"/>
      <c r="ID238" s="8"/>
      <c r="IE238" s="8"/>
      <c r="IF238" s="8"/>
      <c r="IG238" s="8"/>
      <c r="IH238" s="8"/>
      <c r="II238" s="8"/>
      <c r="IJ238" s="8"/>
      <c r="IK238" s="8"/>
      <c r="IL238" s="8"/>
      <c r="IM238" s="8"/>
      <c r="IN238" s="8"/>
      <c r="IO238" s="8"/>
      <c r="IP238" s="8"/>
      <c r="IQ238" s="8"/>
    </row>
    <row r="239" spans="1:251" s="7" customFormat="1">
      <c r="A239" s="1"/>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c r="HU239" s="8"/>
      <c r="HV239" s="8"/>
      <c r="HW239" s="8"/>
      <c r="HX239" s="8"/>
      <c r="HY239" s="8"/>
      <c r="HZ239" s="8"/>
      <c r="IA239" s="8"/>
      <c r="IB239" s="8"/>
      <c r="IC239" s="8"/>
      <c r="ID239" s="8"/>
      <c r="IE239" s="8"/>
      <c r="IF239" s="8"/>
      <c r="IG239" s="8"/>
      <c r="IH239" s="8"/>
      <c r="II239" s="8"/>
      <c r="IJ239" s="8"/>
      <c r="IK239" s="8"/>
      <c r="IL239" s="8"/>
      <c r="IM239" s="8"/>
      <c r="IN239" s="8"/>
      <c r="IO239" s="8"/>
      <c r="IP239" s="8"/>
      <c r="IQ239" s="8"/>
    </row>
    <row r="240" spans="1:251" s="7" customFormat="1">
      <c r="A240" s="1"/>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c r="HZ240" s="8"/>
      <c r="IA240" s="8"/>
      <c r="IB240" s="8"/>
      <c r="IC240" s="8"/>
      <c r="ID240" s="8"/>
      <c r="IE240" s="8"/>
      <c r="IF240" s="8"/>
      <c r="IG240" s="8"/>
      <c r="IH240" s="8"/>
      <c r="II240" s="8"/>
      <c r="IJ240" s="8"/>
      <c r="IK240" s="8"/>
      <c r="IL240" s="8"/>
      <c r="IM240" s="8"/>
      <c r="IN240" s="8"/>
      <c r="IO240" s="8"/>
      <c r="IP240" s="8"/>
      <c r="IQ240" s="8"/>
    </row>
    <row r="241" spans="1:251" s="7" customFormat="1">
      <c r="A241" s="1"/>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c r="HB241" s="8"/>
      <c r="HC241" s="8"/>
      <c r="HD241" s="8"/>
      <c r="HE241" s="8"/>
      <c r="HF241" s="8"/>
      <c r="HG241" s="8"/>
      <c r="HH241" s="8"/>
      <c r="HI241" s="8"/>
      <c r="HJ241" s="8"/>
      <c r="HK241" s="8"/>
      <c r="HL241" s="8"/>
      <c r="HM241" s="8"/>
      <c r="HN241" s="8"/>
      <c r="HO241" s="8"/>
      <c r="HP241" s="8"/>
      <c r="HQ241" s="8"/>
      <c r="HR241" s="8"/>
      <c r="HS241" s="8"/>
      <c r="HT241" s="8"/>
      <c r="HU241" s="8"/>
      <c r="HV241" s="8"/>
      <c r="HW241" s="8"/>
      <c r="HX241" s="8"/>
      <c r="HY241" s="8"/>
      <c r="HZ241" s="8"/>
      <c r="IA241" s="8"/>
      <c r="IB241" s="8"/>
      <c r="IC241" s="8"/>
      <c r="ID241" s="8"/>
      <c r="IE241" s="8"/>
      <c r="IF241" s="8"/>
      <c r="IG241" s="8"/>
      <c r="IH241" s="8"/>
      <c r="II241" s="8"/>
      <c r="IJ241" s="8"/>
      <c r="IK241" s="8"/>
      <c r="IL241" s="8"/>
      <c r="IM241" s="8"/>
      <c r="IN241" s="8"/>
      <c r="IO241" s="8"/>
      <c r="IP241" s="8"/>
      <c r="IQ241" s="8"/>
    </row>
    <row r="242" spans="1:251" s="7" customFormat="1">
      <c r="A242" s="1"/>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c r="HU242" s="8"/>
      <c r="HV242" s="8"/>
      <c r="HW242" s="8"/>
      <c r="HX242" s="8"/>
      <c r="HY242" s="8"/>
      <c r="HZ242" s="8"/>
      <c r="IA242" s="8"/>
      <c r="IB242" s="8"/>
      <c r="IC242" s="8"/>
      <c r="ID242" s="8"/>
      <c r="IE242" s="8"/>
      <c r="IF242" s="8"/>
      <c r="IG242" s="8"/>
      <c r="IH242" s="8"/>
      <c r="II242" s="8"/>
      <c r="IJ242" s="8"/>
      <c r="IK242" s="8"/>
      <c r="IL242" s="8"/>
      <c r="IM242" s="8"/>
      <c r="IN242" s="8"/>
      <c r="IO242" s="8"/>
      <c r="IP242" s="8"/>
      <c r="IQ242" s="8"/>
    </row>
    <row r="243" spans="1:251" s="7" customFormat="1">
      <c r="A243" s="1"/>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c r="IE243" s="8"/>
      <c r="IF243" s="8"/>
      <c r="IG243" s="8"/>
      <c r="IH243" s="8"/>
      <c r="II243" s="8"/>
      <c r="IJ243" s="8"/>
      <c r="IK243" s="8"/>
      <c r="IL243" s="8"/>
      <c r="IM243" s="8"/>
      <c r="IN243" s="8"/>
      <c r="IO243" s="8"/>
      <c r="IP243" s="8"/>
      <c r="IQ243" s="8"/>
    </row>
    <row r="244" spans="1:251" s="7" customFormat="1">
      <c r="A244" s="1"/>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c r="HB244" s="8"/>
      <c r="HC244" s="8"/>
      <c r="HD244" s="8"/>
      <c r="HE244" s="8"/>
      <c r="HF244" s="8"/>
      <c r="HG244" s="8"/>
      <c r="HH244" s="8"/>
      <c r="HI244" s="8"/>
      <c r="HJ244" s="8"/>
      <c r="HK244" s="8"/>
      <c r="HL244" s="8"/>
      <c r="HM244" s="8"/>
      <c r="HN244" s="8"/>
      <c r="HO244" s="8"/>
      <c r="HP244" s="8"/>
      <c r="HQ244" s="8"/>
      <c r="HR244" s="8"/>
      <c r="HS244" s="8"/>
      <c r="HT244" s="8"/>
      <c r="HU244" s="8"/>
      <c r="HV244" s="8"/>
      <c r="HW244" s="8"/>
      <c r="HX244" s="8"/>
      <c r="HY244" s="8"/>
      <c r="HZ244" s="8"/>
      <c r="IA244" s="8"/>
      <c r="IB244" s="8"/>
      <c r="IC244" s="8"/>
      <c r="ID244" s="8"/>
      <c r="IE244" s="8"/>
      <c r="IF244" s="8"/>
      <c r="IG244" s="8"/>
      <c r="IH244" s="8"/>
      <c r="II244" s="8"/>
      <c r="IJ244" s="8"/>
      <c r="IK244" s="8"/>
      <c r="IL244" s="8"/>
      <c r="IM244" s="8"/>
      <c r="IN244" s="8"/>
      <c r="IO244" s="8"/>
      <c r="IP244" s="8"/>
      <c r="IQ244" s="8"/>
    </row>
    <row r="245" spans="1:251" s="7" customFormat="1">
      <c r="A245" s="1"/>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c r="HU245" s="8"/>
      <c r="HV245" s="8"/>
      <c r="HW245" s="8"/>
      <c r="HX245" s="8"/>
      <c r="HY245" s="8"/>
      <c r="HZ245" s="8"/>
      <c r="IA245" s="8"/>
      <c r="IB245" s="8"/>
      <c r="IC245" s="8"/>
      <c r="ID245" s="8"/>
      <c r="IE245" s="8"/>
      <c r="IF245" s="8"/>
      <c r="IG245" s="8"/>
      <c r="IH245" s="8"/>
      <c r="II245" s="8"/>
      <c r="IJ245" s="8"/>
      <c r="IK245" s="8"/>
      <c r="IL245" s="8"/>
      <c r="IM245" s="8"/>
      <c r="IN245" s="8"/>
      <c r="IO245" s="8"/>
      <c r="IP245" s="8"/>
      <c r="IQ245" s="8"/>
    </row>
    <row r="246" spans="1:251" s="7" customFormat="1">
      <c r="A246" s="1"/>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c r="HB246" s="8"/>
      <c r="HC246" s="8"/>
      <c r="HD246" s="8"/>
      <c r="HE246" s="8"/>
      <c r="HF246" s="8"/>
      <c r="HG246" s="8"/>
      <c r="HH246" s="8"/>
      <c r="HI246" s="8"/>
      <c r="HJ246" s="8"/>
      <c r="HK246" s="8"/>
      <c r="HL246" s="8"/>
      <c r="HM246" s="8"/>
      <c r="HN246" s="8"/>
      <c r="HO246" s="8"/>
      <c r="HP246" s="8"/>
      <c r="HQ246" s="8"/>
      <c r="HR246" s="8"/>
      <c r="HS246" s="8"/>
      <c r="HT246" s="8"/>
      <c r="HU246" s="8"/>
      <c r="HV246" s="8"/>
      <c r="HW246" s="8"/>
      <c r="HX246" s="8"/>
      <c r="HY246" s="8"/>
      <c r="HZ246" s="8"/>
      <c r="IA246" s="8"/>
      <c r="IB246" s="8"/>
      <c r="IC246" s="8"/>
      <c r="ID246" s="8"/>
      <c r="IE246" s="8"/>
      <c r="IF246" s="8"/>
      <c r="IG246" s="8"/>
      <c r="IH246" s="8"/>
      <c r="II246" s="8"/>
      <c r="IJ246" s="8"/>
      <c r="IK246" s="8"/>
      <c r="IL246" s="8"/>
      <c r="IM246" s="8"/>
      <c r="IN246" s="8"/>
      <c r="IO246" s="8"/>
      <c r="IP246" s="8"/>
      <c r="IQ246" s="8"/>
    </row>
    <row r="247" spans="1:251" s="7" customFormat="1">
      <c r="A247" s="1"/>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c r="FJ247" s="8"/>
      <c r="FK247" s="8"/>
      <c r="FL247" s="8"/>
      <c r="FM247" s="8"/>
      <c r="FN247" s="8"/>
      <c r="FO247" s="8"/>
      <c r="FP247" s="8"/>
      <c r="FQ247" s="8"/>
      <c r="FR247" s="8"/>
      <c r="FS247" s="8"/>
      <c r="FT247" s="8"/>
      <c r="FU247" s="8"/>
      <c r="FV247" s="8"/>
      <c r="FW247" s="8"/>
      <c r="FX247" s="8"/>
      <c r="FY247" s="8"/>
      <c r="FZ247" s="8"/>
      <c r="GA247" s="8"/>
      <c r="GB247" s="8"/>
      <c r="GC247" s="8"/>
      <c r="GD247" s="8"/>
      <c r="GE247" s="8"/>
      <c r="GF247" s="8"/>
      <c r="GG247" s="8"/>
      <c r="GH247" s="8"/>
      <c r="GI247" s="8"/>
      <c r="GJ247" s="8"/>
      <c r="GK247" s="8"/>
      <c r="GL247" s="8"/>
      <c r="GM247" s="8"/>
      <c r="GN247" s="8"/>
      <c r="GO247" s="8"/>
      <c r="GP247" s="8"/>
      <c r="GQ247" s="8"/>
      <c r="GR247" s="8"/>
      <c r="GS247" s="8"/>
      <c r="GT247" s="8"/>
      <c r="GU247" s="8"/>
      <c r="GV247" s="8"/>
      <c r="GW247" s="8"/>
      <c r="GX247" s="8"/>
      <c r="GY247" s="8"/>
      <c r="GZ247" s="8"/>
      <c r="HA247" s="8"/>
      <c r="HB247" s="8"/>
      <c r="HC247" s="8"/>
      <c r="HD247" s="8"/>
      <c r="HE247" s="8"/>
      <c r="HF247" s="8"/>
      <c r="HG247" s="8"/>
      <c r="HH247" s="8"/>
      <c r="HI247" s="8"/>
      <c r="HJ247" s="8"/>
      <c r="HK247" s="8"/>
      <c r="HL247" s="8"/>
      <c r="HM247" s="8"/>
      <c r="HN247" s="8"/>
      <c r="HO247" s="8"/>
      <c r="HP247" s="8"/>
      <c r="HQ247" s="8"/>
      <c r="HR247" s="8"/>
      <c r="HS247" s="8"/>
      <c r="HT247" s="8"/>
      <c r="HU247" s="8"/>
      <c r="HV247" s="8"/>
      <c r="HW247" s="8"/>
      <c r="HX247" s="8"/>
      <c r="HY247" s="8"/>
      <c r="HZ247" s="8"/>
      <c r="IA247" s="8"/>
      <c r="IB247" s="8"/>
      <c r="IC247" s="8"/>
      <c r="ID247" s="8"/>
      <c r="IE247" s="8"/>
      <c r="IF247" s="8"/>
      <c r="IG247" s="8"/>
      <c r="IH247" s="8"/>
      <c r="II247" s="8"/>
      <c r="IJ247" s="8"/>
      <c r="IK247" s="8"/>
      <c r="IL247" s="8"/>
      <c r="IM247" s="8"/>
      <c r="IN247" s="8"/>
      <c r="IO247" s="8"/>
      <c r="IP247" s="8"/>
      <c r="IQ247" s="8"/>
    </row>
    <row r="248" spans="1:251" s="7" customFormat="1">
      <c r="A248" s="1"/>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c r="HB248" s="8"/>
      <c r="HC248" s="8"/>
      <c r="HD248" s="8"/>
      <c r="HE248" s="8"/>
      <c r="HF248" s="8"/>
      <c r="HG248" s="8"/>
      <c r="HH248" s="8"/>
      <c r="HI248" s="8"/>
      <c r="HJ248" s="8"/>
      <c r="HK248" s="8"/>
      <c r="HL248" s="8"/>
      <c r="HM248" s="8"/>
      <c r="HN248" s="8"/>
      <c r="HO248" s="8"/>
      <c r="HP248" s="8"/>
      <c r="HQ248" s="8"/>
      <c r="HR248" s="8"/>
      <c r="HS248" s="8"/>
      <c r="HT248" s="8"/>
      <c r="HU248" s="8"/>
      <c r="HV248" s="8"/>
      <c r="HW248" s="8"/>
      <c r="HX248" s="8"/>
      <c r="HY248" s="8"/>
      <c r="HZ248" s="8"/>
      <c r="IA248" s="8"/>
      <c r="IB248" s="8"/>
      <c r="IC248" s="8"/>
      <c r="ID248" s="8"/>
      <c r="IE248" s="8"/>
      <c r="IF248" s="8"/>
      <c r="IG248" s="8"/>
      <c r="IH248" s="8"/>
      <c r="II248" s="8"/>
      <c r="IJ248" s="8"/>
      <c r="IK248" s="8"/>
      <c r="IL248" s="8"/>
      <c r="IM248" s="8"/>
      <c r="IN248" s="8"/>
      <c r="IO248" s="8"/>
      <c r="IP248" s="8"/>
      <c r="IQ248" s="8"/>
    </row>
    <row r="249" spans="1:251" s="7" customFormat="1">
      <c r="A249" s="1"/>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c r="HU249" s="8"/>
      <c r="HV249" s="8"/>
      <c r="HW249" s="8"/>
      <c r="HX249" s="8"/>
      <c r="HY249" s="8"/>
      <c r="HZ249" s="8"/>
      <c r="IA249" s="8"/>
      <c r="IB249" s="8"/>
      <c r="IC249" s="8"/>
      <c r="ID249" s="8"/>
      <c r="IE249" s="8"/>
      <c r="IF249" s="8"/>
      <c r="IG249" s="8"/>
      <c r="IH249" s="8"/>
      <c r="II249" s="8"/>
      <c r="IJ249" s="8"/>
      <c r="IK249" s="8"/>
      <c r="IL249" s="8"/>
      <c r="IM249" s="8"/>
      <c r="IN249" s="8"/>
      <c r="IO249" s="8"/>
      <c r="IP249" s="8"/>
      <c r="IQ249" s="8"/>
    </row>
    <row r="250" spans="1:251" s="7" customFormat="1">
      <c r="A250" s="1"/>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c r="HB250" s="8"/>
      <c r="HC250" s="8"/>
      <c r="HD250" s="8"/>
      <c r="HE250" s="8"/>
      <c r="HF250" s="8"/>
      <c r="HG250" s="8"/>
      <c r="HH250" s="8"/>
      <c r="HI250" s="8"/>
      <c r="HJ250" s="8"/>
      <c r="HK250" s="8"/>
      <c r="HL250" s="8"/>
      <c r="HM250" s="8"/>
      <c r="HN250" s="8"/>
      <c r="HO250" s="8"/>
      <c r="HP250" s="8"/>
      <c r="HQ250" s="8"/>
      <c r="HR250" s="8"/>
      <c r="HS250" s="8"/>
      <c r="HT250" s="8"/>
      <c r="HU250" s="8"/>
      <c r="HV250" s="8"/>
      <c r="HW250" s="8"/>
      <c r="HX250" s="8"/>
      <c r="HY250" s="8"/>
      <c r="HZ250" s="8"/>
      <c r="IA250" s="8"/>
      <c r="IB250" s="8"/>
      <c r="IC250" s="8"/>
      <c r="ID250" s="8"/>
      <c r="IE250" s="8"/>
      <c r="IF250" s="8"/>
      <c r="IG250" s="8"/>
      <c r="IH250" s="8"/>
      <c r="II250" s="8"/>
      <c r="IJ250" s="8"/>
      <c r="IK250" s="8"/>
      <c r="IL250" s="8"/>
      <c r="IM250" s="8"/>
      <c r="IN250" s="8"/>
      <c r="IO250" s="8"/>
      <c r="IP250" s="8"/>
      <c r="IQ250" s="8"/>
    </row>
    <row r="251" spans="1:251" s="7" customFormat="1">
      <c r="A251" s="1"/>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c r="HB251" s="8"/>
      <c r="HC251" s="8"/>
      <c r="HD251" s="8"/>
      <c r="HE251" s="8"/>
      <c r="HF251" s="8"/>
      <c r="HG251" s="8"/>
      <c r="HH251" s="8"/>
      <c r="HI251" s="8"/>
      <c r="HJ251" s="8"/>
      <c r="HK251" s="8"/>
      <c r="HL251" s="8"/>
      <c r="HM251" s="8"/>
      <c r="HN251" s="8"/>
      <c r="HO251" s="8"/>
      <c r="HP251" s="8"/>
      <c r="HQ251" s="8"/>
      <c r="HR251" s="8"/>
      <c r="HS251" s="8"/>
      <c r="HT251" s="8"/>
      <c r="HU251" s="8"/>
      <c r="HV251" s="8"/>
      <c r="HW251" s="8"/>
      <c r="HX251" s="8"/>
      <c r="HY251" s="8"/>
      <c r="HZ251" s="8"/>
      <c r="IA251" s="8"/>
      <c r="IB251" s="8"/>
      <c r="IC251" s="8"/>
      <c r="ID251" s="8"/>
      <c r="IE251" s="8"/>
      <c r="IF251" s="8"/>
      <c r="IG251" s="8"/>
      <c r="IH251" s="8"/>
      <c r="II251" s="8"/>
      <c r="IJ251" s="8"/>
      <c r="IK251" s="8"/>
      <c r="IL251" s="8"/>
      <c r="IM251" s="8"/>
      <c r="IN251" s="8"/>
      <c r="IO251" s="8"/>
      <c r="IP251" s="8"/>
      <c r="IQ251" s="8"/>
    </row>
    <row r="252" spans="1:251" s="7" customFormat="1">
      <c r="A252" s="1"/>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c r="FJ252" s="8"/>
      <c r="FK252" s="8"/>
      <c r="FL252" s="8"/>
      <c r="FM252" s="8"/>
      <c r="FN252" s="8"/>
      <c r="FO252" s="8"/>
      <c r="FP252" s="8"/>
      <c r="FQ252" s="8"/>
      <c r="FR252" s="8"/>
      <c r="FS252" s="8"/>
      <c r="FT252" s="8"/>
      <c r="FU252" s="8"/>
      <c r="FV252" s="8"/>
      <c r="FW252" s="8"/>
      <c r="FX252" s="8"/>
      <c r="FY252" s="8"/>
      <c r="FZ252" s="8"/>
      <c r="GA252" s="8"/>
      <c r="GB252" s="8"/>
      <c r="GC252" s="8"/>
      <c r="GD252" s="8"/>
      <c r="GE252" s="8"/>
      <c r="GF252" s="8"/>
      <c r="GG252" s="8"/>
      <c r="GH252" s="8"/>
      <c r="GI252" s="8"/>
      <c r="GJ252" s="8"/>
      <c r="GK252" s="8"/>
      <c r="GL252" s="8"/>
      <c r="GM252" s="8"/>
      <c r="GN252" s="8"/>
      <c r="GO252" s="8"/>
      <c r="GP252" s="8"/>
      <c r="GQ252" s="8"/>
      <c r="GR252" s="8"/>
      <c r="GS252" s="8"/>
      <c r="GT252" s="8"/>
      <c r="GU252" s="8"/>
      <c r="GV252" s="8"/>
      <c r="GW252" s="8"/>
      <c r="GX252" s="8"/>
      <c r="GY252" s="8"/>
      <c r="GZ252" s="8"/>
      <c r="HA252" s="8"/>
      <c r="HB252" s="8"/>
      <c r="HC252" s="8"/>
      <c r="HD252" s="8"/>
      <c r="HE252" s="8"/>
      <c r="HF252" s="8"/>
      <c r="HG252" s="8"/>
      <c r="HH252" s="8"/>
      <c r="HI252" s="8"/>
      <c r="HJ252" s="8"/>
      <c r="HK252" s="8"/>
      <c r="HL252" s="8"/>
      <c r="HM252" s="8"/>
      <c r="HN252" s="8"/>
      <c r="HO252" s="8"/>
      <c r="HP252" s="8"/>
      <c r="HQ252" s="8"/>
      <c r="HR252" s="8"/>
      <c r="HS252" s="8"/>
      <c r="HT252" s="8"/>
      <c r="HU252" s="8"/>
      <c r="HV252" s="8"/>
      <c r="HW252" s="8"/>
      <c r="HX252" s="8"/>
      <c r="HY252" s="8"/>
      <c r="HZ252" s="8"/>
      <c r="IA252" s="8"/>
      <c r="IB252" s="8"/>
      <c r="IC252" s="8"/>
      <c r="ID252" s="8"/>
      <c r="IE252" s="8"/>
      <c r="IF252" s="8"/>
      <c r="IG252" s="8"/>
      <c r="IH252" s="8"/>
      <c r="II252" s="8"/>
      <c r="IJ252" s="8"/>
      <c r="IK252" s="8"/>
      <c r="IL252" s="8"/>
      <c r="IM252" s="8"/>
      <c r="IN252" s="8"/>
      <c r="IO252" s="8"/>
      <c r="IP252" s="8"/>
      <c r="IQ252" s="8"/>
    </row>
    <row r="253" spans="1:251" s="7" customFormat="1">
      <c r="A253" s="1"/>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c r="FJ253" s="8"/>
      <c r="FK253" s="8"/>
      <c r="FL253" s="8"/>
      <c r="FM253" s="8"/>
      <c r="FN253" s="8"/>
      <c r="FO253" s="8"/>
      <c r="FP253" s="8"/>
      <c r="FQ253" s="8"/>
      <c r="FR253" s="8"/>
      <c r="FS253" s="8"/>
      <c r="FT253" s="8"/>
      <c r="FU253" s="8"/>
      <c r="FV253" s="8"/>
      <c r="FW253" s="8"/>
      <c r="FX253" s="8"/>
      <c r="FY253" s="8"/>
      <c r="FZ253" s="8"/>
      <c r="GA253" s="8"/>
      <c r="GB253" s="8"/>
      <c r="GC253" s="8"/>
      <c r="GD253" s="8"/>
      <c r="GE253" s="8"/>
      <c r="GF253" s="8"/>
      <c r="GG253" s="8"/>
      <c r="GH253" s="8"/>
      <c r="GI253" s="8"/>
      <c r="GJ253" s="8"/>
      <c r="GK253" s="8"/>
      <c r="GL253" s="8"/>
      <c r="GM253" s="8"/>
      <c r="GN253" s="8"/>
      <c r="GO253" s="8"/>
      <c r="GP253" s="8"/>
      <c r="GQ253" s="8"/>
      <c r="GR253" s="8"/>
      <c r="GS253" s="8"/>
      <c r="GT253" s="8"/>
      <c r="GU253" s="8"/>
      <c r="GV253" s="8"/>
      <c r="GW253" s="8"/>
      <c r="GX253" s="8"/>
      <c r="GY253" s="8"/>
      <c r="GZ253" s="8"/>
      <c r="HA253" s="8"/>
      <c r="HB253" s="8"/>
      <c r="HC253" s="8"/>
      <c r="HD253" s="8"/>
      <c r="HE253" s="8"/>
      <c r="HF253" s="8"/>
      <c r="HG253" s="8"/>
      <c r="HH253" s="8"/>
      <c r="HI253" s="8"/>
      <c r="HJ253" s="8"/>
      <c r="HK253" s="8"/>
      <c r="HL253" s="8"/>
      <c r="HM253" s="8"/>
      <c r="HN253" s="8"/>
      <c r="HO253" s="8"/>
      <c r="HP253" s="8"/>
      <c r="HQ253" s="8"/>
      <c r="HR253" s="8"/>
      <c r="HS253" s="8"/>
      <c r="HT253" s="8"/>
      <c r="HU253" s="8"/>
      <c r="HV253" s="8"/>
      <c r="HW253" s="8"/>
      <c r="HX253" s="8"/>
      <c r="HY253" s="8"/>
      <c r="HZ253" s="8"/>
      <c r="IA253" s="8"/>
      <c r="IB253" s="8"/>
      <c r="IC253" s="8"/>
      <c r="ID253" s="8"/>
      <c r="IE253" s="8"/>
      <c r="IF253" s="8"/>
      <c r="IG253" s="8"/>
      <c r="IH253" s="8"/>
      <c r="II253" s="8"/>
      <c r="IJ253" s="8"/>
      <c r="IK253" s="8"/>
      <c r="IL253" s="8"/>
      <c r="IM253" s="8"/>
      <c r="IN253" s="8"/>
      <c r="IO253" s="8"/>
      <c r="IP253" s="8"/>
      <c r="IQ253" s="8"/>
    </row>
    <row r="254" spans="1:251" s="7" customFormat="1">
      <c r="A254" s="1"/>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c r="FO254" s="8"/>
      <c r="FP254" s="8"/>
      <c r="FQ254" s="8"/>
      <c r="FR254" s="8"/>
      <c r="FS254" s="8"/>
      <c r="FT254" s="8"/>
      <c r="FU254" s="8"/>
      <c r="FV254" s="8"/>
      <c r="FW254" s="8"/>
      <c r="FX254" s="8"/>
      <c r="FY254" s="8"/>
      <c r="FZ254" s="8"/>
      <c r="GA254" s="8"/>
      <c r="GB254" s="8"/>
      <c r="GC254" s="8"/>
      <c r="GD254" s="8"/>
      <c r="GE254" s="8"/>
      <c r="GF254" s="8"/>
      <c r="GG254" s="8"/>
      <c r="GH254" s="8"/>
      <c r="GI254" s="8"/>
      <c r="GJ254" s="8"/>
      <c r="GK254" s="8"/>
      <c r="GL254" s="8"/>
      <c r="GM254" s="8"/>
      <c r="GN254" s="8"/>
      <c r="GO254" s="8"/>
      <c r="GP254" s="8"/>
      <c r="GQ254" s="8"/>
      <c r="GR254" s="8"/>
      <c r="GS254" s="8"/>
      <c r="GT254" s="8"/>
      <c r="GU254" s="8"/>
      <c r="GV254" s="8"/>
      <c r="GW254" s="8"/>
      <c r="GX254" s="8"/>
      <c r="GY254" s="8"/>
      <c r="GZ254" s="8"/>
      <c r="HA254" s="8"/>
      <c r="HB254" s="8"/>
      <c r="HC254" s="8"/>
      <c r="HD254" s="8"/>
      <c r="HE254" s="8"/>
      <c r="HF254" s="8"/>
      <c r="HG254" s="8"/>
      <c r="HH254" s="8"/>
      <c r="HI254" s="8"/>
      <c r="HJ254" s="8"/>
      <c r="HK254" s="8"/>
      <c r="HL254" s="8"/>
      <c r="HM254" s="8"/>
      <c r="HN254" s="8"/>
      <c r="HO254" s="8"/>
      <c r="HP254" s="8"/>
      <c r="HQ254" s="8"/>
      <c r="HR254" s="8"/>
      <c r="HS254" s="8"/>
      <c r="HT254" s="8"/>
      <c r="HU254" s="8"/>
      <c r="HV254" s="8"/>
      <c r="HW254" s="8"/>
      <c r="HX254" s="8"/>
      <c r="HY254" s="8"/>
      <c r="HZ254" s="8"/>
      <c r="IA254" s="8"/>
      <c r="IB254" s="8"/>
      <c r="IC254" s="8"/>
      <c r="ID254" s="8"/>
      <c r="IE254" s="8"/>
      <c r="IF254" s="8"/>
      <c r="IG254" s="8"/>
      <c r="IH254" s="8"/>
      <c r="II254" s="8"/>
      <c r="IJ254" s="8"/>
      <c r="IK254" s="8"/>
      <c r="IL254" s="8"/>
      <c r="IM254" s="8"/>
      <c r="IN254" s="8"/>
      <c r="IO254" s="8"/>
      <c r="IP254" s="8"/>
      <c r="IQ254" s="8"/>
    </row>
    <row r="255" spans="1:251" s="7" customFormat="1">
      <c r="A255" s="1"/>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c r="FJ255" s="8"/>
      <c r="FK255" s="8"/>
      <c r="FL255" s="8"/>
      <c r="FM255" s="8"/>
      <c r="FN255" s="8"/>
      <c r="FO255" s="8"/>
      <c r="FP255" s="8"/>
      <c r="FQ255" s="8"/>
      <c r="FR255" s="8"/>
      <c r="FS255" s="8"/>
      <c r="FT255" s="8"/>
      <c r="FU255" s="8"/>
      <c r="FV255" s="8"/>
      <c r="FW255" s="8"/>
      <c r="FX255" s="8"/>
      <c r="FY255" s="8"/>
      <c r="FZ255" s="8"/>
      <c r="GA255" s="8"/>
      <c r="GB255" s="8"/>
      <c r="GC255" s="8"/>
      <c r="GD255" s="8"/>
      <c r="GE255" s="8"/>
      <c r="GF255" s="8"/>
      <c r="GG255" s="8"/>
      <c r="GH255" s="8"/>
      <c r="GI255" s="8"/>
      <c r="GJ255" s="8"/>
      <c r="GK255" s="8"/>
      <c r="GL255" s="8"/>
      <c r="GM255" s="8"/>
      <c r="GN255" s="8"/>
      <c r="GO255" s="8"/>
      <c r="GP255" s="8"/>
      <c r="GQ255" s="8"/>
      <c r="GR255" s="8"/>
      <c r="GS255" s="8"/>
      <c r="GT255" s="8"/>
      <c r="GU255" s="8"/>
      <c r="GV255" s="8"/>
      <c r="GW255" s="8"/>
      <c r="GX255" s="8"/>
      <c r="GY255" s="8"/>
      <c r="GZ255" s="8"/>
      <c r="HA255" s="8"/>
      <c r="HB255" s="8"/>
      <c r="HC255" s="8"/>
      <c r="HD255" s="8"/>
      <c r="HE255" s="8"/>
      <c r="HF255" s="8"/>
      <c r="HG255" s="8"/>
      <c r="HH255" s="8"/>
      <c r="HI255" s="8"/>
      <c r="HJ255" s="8"/>
      <c r="HK255" s="8"/>
      <c r="HL255" s="8"/>
      <c r="HM255" s="8"/>
      <c r="HN255" s="8"/>
      <c r="HO255" s="8"/>
      <c r="HP255" s="8"/>
      <c r="HQ255" s="8"/>
      <c r="HR255" s="8"/>
      <c r="HS255" s="8"/>
      <c r="HT255" s="8"/>
      <c r="HU255" s="8"/>
      <c r="HV255" s="8"/>
      <c r="HW255" s="8"/>
      <c r="HX255" s="8"/>
      <c r="HY255" s="8"/>
      <c r="HZ255" s="8"/>
      <c r="IA255" s="8"/>
      <c r="IB255" s="8"/>
      <c r="IC255" s="8"/>
      <c r="ID255" s="8"/>
      <c r="IE255" s="8"/>
      <c r="IF255" s="8"/>
      <c r="IG255" s="8"/>
      <c r="IH255" s="8"/>
      <c r="II255" s="8"/>
      <c r="IJ255" s="8"/>
      <c r="IK255" s="8"/>
      <c r="IL255" s="8"/>
      <c r="IM255" s="8"/>
      <c r="IN255" s="8"/>
      <c r="IO255" s="8"/>
      <c r="IP255" s="8"/>
      <c r="IQ255" s="8"/>
    </row>
    <row r="256" spans="1:251" s="7" customFormat="1">
      <c r="A256" s="1"/>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8"/>
      <c r="GC256" s="8"/>
      <c r="GD256" s="8"/>
      <c r="GE256" s="8"/>
      <c r="GF256" s="8"/>
      <c r="GG256" s="8"/>
      <c r="GH256" s="8"/>
      <c r="GI256" s="8"/>
      <c r="GJ256" s="8"/>
      <c r="GK256" s="8"/>
      <c r="GL256" s="8"/>
      <c r="GM256" s="8"/>
      <c r="GN256" s="8"/>
      <c r="GO256" s="8"/>
      <c r="GP256" s="8"/>
      <c r="GQ256" s="8"/>
      <c r="GR256" s="8"/>
      <c r="GS256" s="8"/>
      <c r="GT256" s="8"/>
      <c r="GU256" s="8"/>
      <c r="GV256" s="8"/>
      <c r="GW256" s="8"/>
      <c r="GX256" s="8"/>
      <c r="GY256" s="8"/>
      <c r="GZ256" s="8"/>
      <c r="HA256" s="8"/>
      <c r="HB256" s="8"/>
      <c r="HC256" s="8"/>
      <c r="HD256" s="8"/>
      <c r="HE256" s="8"/>
      <c r="HF256" s="8"/>
      <c r="HG256" s="8"/>
      <c r="HH256" s="8"/>
      <c r="HI256" s="8"/>
      <c r="HJ256" s="8"/>
      <c r="HK256" s="8"/>
      <c r="HL256" s="8"/>
      <c r="HM256" s="8"/>
      <c r="HN256" s="8"/>
      <c r="HO256" s="8"/>
      <c r="HP256" s="8"/>
      <c r="HQ256" s="8"/>
      <c r="HR256" s="8"/>
      <c r="HS256" s="8"/>
      <c r="HT256" s="8"/>
      <c r="HU256" s="8"/>
      <c r="HV256" s="8"/>
      <c r="HW256" s="8"/>
      <c r="HX256" s="8"/>
      <c r="HY256" s="8"/>
      <c r="HZ256" s="8"/>
      <c r="IA256" s="8"/>
      <c r="IB256" s="8"/>
      <c r="IC256" s="8"/>
      <c r="ID256" s="8"/>
      <c r="IE256" s="8"/>
      <c r="IF256" s="8"/>
      <c r="IG256" s="8"/>
      <c r="IH256" s="8"/>
      <c r="II256" s="8"/>
      <c r="IJ256" s="8"/>
      <c r="IK256" s="8"/>
      <c r="IL256" s="8"/>
      <c r="IM256" s="8"/>
      <c r="IN256" s="8"/>
      <c r="IO256" s="8"/>
      <c r="IP256" s="8"/>
      <c r="IQ256" s="8"/>
    </row>
    <row r="257" spans="1:251" s="7" customFormat="1">
      <c r="A257" s="1"/>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c r="HB257" s="8"/>
      <c r="HC257" s="8"/>
      <c r="HD257" s="8"/>
      <c r="HE257" s="8"/>
      <c r="HF257" s="8"/>
      <c r="HG257" s="8"/>
      <c r="HH257" s="8"/>
      <c r="HI257" s="8"/>
      <c r="HJ257" s="8"/>
      <c r="HK257" s="8"/>
      <c r="HL257" s="8"/>
      <c r="HM257" s="8"/>
      <c r="HN257" s="8"/>
      <c r="HO257" s="8"/>
      <c r="HP257" s="8"/>
      <c r="HQ257" s="8"/>
      <c r="HR257" s="8"/>
      <c r="HS257" s="8"/>
      <c r="HT257" s="8"/>
      <c r="HU257" s="8"/>
      <c r="HV257" s="8"/>
      <c r="HW257" s="8"/>
      <c r="HX257" s="8"/>
      <c r="HY257" s="8"/>
      <c r="HZ257" s="8"/>
      <c r="IA257" s="8"/>
      <c r="IB257" s="8"/>
      <c r="IC257" s="8"/>
      <c r="ID257" s="8"/>
      <c r="IE257" s="8"/>
      <c r="IF257" s="8"/>
      <c r="IG257" s="8"/>
      <c r="IH257" s="8"/>
      <c r="II257" s="8"/>
      <c r="IJ257" s="8"/>
      <c r="IK257" s="8"/>
      <c r="IL257" s="8"/>
      <c r="IM257" s="8"/>
      <c r="IN257" s="8"/>
      <c r="IO257" s="8"/>
      <c r="IP257" s="8"/>
      <c r="IQ257" s="8"/>
    </row>
    <row r="258" spans="1:251" s="7" customFormat="1">
      <c r="A258" s="1"/>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c r="HB258" s="8"/>
      <c r="HC258" s="8"/>
      <c r="HD258" s="8"/>
      <c r="HE258" s="8"/>
      <c r="HF258" s="8"/>
      <c r="HG258" s="8"/>
      <c r="HH258" s="8"/>
      <c r="HI258" s="8"/>
      <c r="HJ258" s="8"/>
      <c r="HK258" s="8"/>
      <c r="HL258" s="8"/>
      <c r="HM258" s="8"/>
      <c r="HN258" s="8"/>
      <c r="HO258" s="8"/>
      <c r="HP258" s="8"/>
      <c r="HQ258" s="8"/>
      <c r="HR258" s="8"/>
      <c r="HS258" s="8"/>
      <c r="HT258" s="8"/>
      <c r="HU258" s="8"/>
      <c r="HV258" s="8"/>
      <c r="HW258" s="8"/>
      <c r="HX258" s="8"/>
      <c r="HY258" s="8"/>
      <c r="HZ258" s="8"/>
      <c r="IA258" s="8"/>
      <c r="IB258" s="8"/>
      <c r="IC258" s="8"/>
      <c r="ID258" s="8"/>
      <c r="IE258" s="8"/>
      <c r="IF258" s="8"/>
      <c r="IG258" s="8"/>
      <c r="IH258" s="8"/>
      <c r="II258" s="8"/>
      <c r="IJ258" s="8"/>
      <c r="IK258" s="8"/>
      <c r="IL258" s="8"/>
      <c r="IM258" s="8"/>
      <c r="IN258" s="8"/>
      <c r="IO258" s="8"/>
      <c r="IP258" s="8"/>
      <c r="IQ258" s="8"/>
    </row>
    <row r="259" spans="1:251" s="7" customFormat="1">
      <c r="A259" s="1"/>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c r="HB259" s="8"/>
      <c r="HC259" s="8"/>
      <c r="HD259" s="8"/>
      <c r="HE259" s="8"/>
      <c r="HF259" s="8"/>
      <c r="HG259" s="8"/>
      <c r="HH259" s="8"/>
      <c r="HI259" s="8"/>
      <c r="HJ259" s="8"/>
      <c r="HK259" s="8"/>
      <c r="HL259" s="8"/>
      <c r="HM259" s="8"/>
      <c r="HN259" s="8"/>
      <c r="HO259" s="8"/>
      <c r="HP259" s="8"/>
      <c r="HQ259" s="8"/>
      <c r="HR259" s="8"/>
      <c r="HS259" s="8"/>
      <c r="HT259" s="8"/>
      <c r="HU259" s="8"/>
      <c r="HV259" s="8"/>
      <c r="HW259" s="8"/>
      <c r="HX259" s="8"/>
      <c r="HY259" s="8"/>
      <c r="HZ259" s="8"/>
      <c r="IA259" s="8"/>
      <c r="IB259" s="8"/>
      <c r="IC259" s="8"/>
      <c r="ID259" s="8"/>
      <c r="IE259" s="8"/>
      <c r="IF259" s="8"/>
      <c r="IG259" s="8"/>
      <c r="IH259" s="8"/>
      <c r="II259" s="8"/>
      <c r="IJ259" s="8"/>
      <c r="IK259" s="8"/>
      <c r="IL259" s="8"/>
      <c r="IM259" s="8"/>
      <c r="IN259" s="8"/>
      <c r="IO259" s="8"/>
      <c r="IP259" s="8"/>
      <c r="IQ259" s="8"/>
    </row>
    <row r="260" spans="1:251" s="7" customFormat="1">
      <c r="A260" s="1"/>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c r="FO260" s="8"/>
      <c r="FP260" s="8"/>
      <c r="FQ260" s="8"/>
      <c r="FR260" s="8"/>
      <c r="FS260" s="8"/>
      <c r="FT260" s="8"/>
      <c r="FU260" s="8"/>
      <c r="FV260" s="8"/>
      <c r="FW260" s="8"/>
      <c r="FX260" s="8"/>
      <c r="FY260" s="8"/>
      <c r="FZ260" s="8"/>
      <c r="GA260" s="8"/>
      <c r="GB260" s="8"/>
      <c r="GC260" s="8"/>
      <c r="GD260" s="8"/>
      <c r="GE260" s="8"/>
      <c r="GF260" s="8"/>
      <c r="GG260" s="8"/>
      <c r="GH260" s="8"/>
      <c r="GI260" s="8"/>
      <c r="GJ260" s="8"/>
      <c r="GK260" s="8"/>
      <c r="GL260" s="8"/>
      <c r="GM260" s="8"/>
      <c r="GN260" s="8"/>
      <c r="GO260" s="8"/>
      <c r="GP260" s="8"/>
      <c r="GQ260" s="8"/>
      <c r="GR260" s="8"/>
      <c r="GS260" s="8"/>
      <c r="GT260" s="8"/>
      <c r="GU260" s="8"/>
      <c r="GV260" s="8"/>
      <c r="GW260" s="8"/>
      <c r="GX260" s="8"/>
      <c r="GY260" s="8"/>
      <c r="GZ260" s="8"/>
      <c r="HA260" s="8"/>
      <c r="HB260" s="8"/>
      <c r="HC260" s="8"/>
      <c r="HD260" s="8"/>
      <c r="HE260" s="8"/>
      <c r="HF260" s="8"/>
      <c r="HG260" s="8"/>
      <c r="HH260" s="8"/>
      <c r="HI260" s="8"/>
      <c r="HJ260" s="8"/>
      <c r="HK260" s="8"/>
      <c r="HL260" s="8"/>
      <c r="HM260" s="8"/>
      <c r="HN260" s="8"/>
      <c r="HO260" s="8"/>
      <c r="HP260" s="8"/>
      <c r="HQ260" s="8"/>
      <c r="HR260" s="8"/>
      <c r="HS260" s="8"/>
      <c r="HT260" s="8"/>
      <c r="HU260" s="8"/>
      <c r="HV260" s="8"/>
      <c r="HW260" s="8"/>
      <c r="HX260" s="8"/>
      <c r="HY260" s="8"/>
      <c r="HZ260" s="8"/>
      <c r="IA260" s="8"/>
      <c r="IB260" s="8"/>
      <c r="IC260" s="8"/>
      <c r="ID260" s="8"/>
      <c r="IE260" s="8"/>
      <c r="IF260" s="8"/>
      <c r="IG260" s="8"/>
      <c r="IH260" s="8"/>
      <c r="II260" s="8"/>
      <c r="IJ260" s="8"/>
      <c r="IK260" s="8"/>
      <c r="IL260" s="8"/>
      <c r="IM260" s="8"/>
      <c r="IN260" s="8"/>
      <c r="IO260" s="8"/>
      <c r="IP260" s="8"/>
      <c r="IQ260" s="8"/>
    </row>
    <row r="261" spans="1:251" s="7" customFormat="1">
      <c r="A261" s="1"/>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c r="FJ261" s="8"/>
      <c r="FK261" s="8"/>
      <c r="FL261" s="8"/>
      <c r="FM261" s="8"/>
      <c r="FN261" s="8"/>
      <c r="FO261" s="8"/>
      <c r="FP261" s="8"/>
      <c r="FQ261" s="8"/>
      <c r="FR261" s="8"/>
      <c r="FS261" s="8"/>
      <c r="FT261" s="8"/>
      <c r="FU261" s="8"/>
      <c r="FV261" s="8"/>
      <c r="FW261" s="8"/>
      <c r="FX261" s="8"/>
      <c r="FY261" s="8"/>
      <c r="FZ261" s="8"/>
      <c r="GA261" s="8"/>
      <c r="GB261" s="8"/>
      <c r="GC261" s="8"/>
      <c r="GD261" s="8"/>
      <c r="GE261" s="8"/>
      <c r="GF261" s="8"/>
      <c r="GG261" s="8"/>
      <c r="GH261" s="8"/>
      <c r="GI261" s="8"/>
      <c r="GJ261" s="8"/>
      <c r="GK261" s="8"/>
      <c r="GL261" s="8"/>
      <c r="GM261" s="8"/>
      <c r="GN261" s="8"/>
      <c r="GO261" s="8"/>
      <c r="GP261" s="8"/>
      <c r="GQ261" s="8"/>
      <c r="GR261" s="8"/>
      <c r="GS261" s="8"/>
      <c r="GT261" s="8"/>
      <c r="GU261" s="8"/>
      <c r="GV261" s="8"/>
      <c r="GW261" s="8"/>
      <c r="GX261" s="8"/>
      <c r="GY261" s="8"/>
      <c r="GZ261" s="8"/>
      <c r="HA261" s="8"/>
      <c r="HB261" s="8"/>
      <c r="HC261" s="8"/>
      <c r="HD261" s="8"/>
      <c r="HE261" s="8"/>
      <c r="HF261" s="8"/>
      <c r="HG261" s="8"/>
      <c r="HH261" s="8"/>
      <c r="HI261" s="8"/>
      <c r="HJ261" s="8"/>
      <c r="HK261" s="8"/>
      <c r="HL261" s="8"/>
      <c r="HM261" s="8"/>
      <c r="HN261" s="8"/>
      <c r="HO261" s="8"/>
      <c r="HP261" s="8"/>
      <c r="HQ261" s="8"/>
      <c r="HR261" s="8"/>
      <c r="HS261" s="8"/>
      <c r="HT261" s="8"/>
      <c r="HU261" s="8"/>
      <c r="HV261" s="8"/>
      <c r="HW261" s="8"/>
      <c r="HX261" s="8"/>
      <c r="HY261" s="8"/>
      <c r="HZ261" s="8"/>
      <c r="IA261" s="8"/>
      <c r="IB261" s="8"/>
      <c r="IC261" s="8"/>
      <c r="ID261" s="8"/>
      <c r="IE261" s="8"/>
      <c r="IF261" s="8"/>
      <c r="IG261" s="8"/>
      <c r="IH261" s="8"/>
      <c r="II261" s="8"/>
      <c r="IJ261" s="8"/>
      <c r="IK261" s="8"/>
      <c r="IL261" s="8"/>
      <c r="IM261" s="8"/>
      <c r="IN261" s="8"/>
      <c r="IO261" s="8"/>
      <c r="IP261" s="8"/>
      <c r="IQ261" s="8"/>
    </row>
    <row r="262" spans="1:251" s="7" customFormat="1">
      <c r="A262" s="1"/>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c r="FJ262" s="8"/>
      <c r="FK262" s="8"/>
      <c r="FL262" s="8"/>
      <c r="FM262" s="8"/>
      <c r="FN262" s="8"/>
      <c r="FO262" s="8"/>
      <c r="FP262" s="8"/>
      <c r="FQ262" s="8"/>
      <c r="FR262" s="8"/>
      <c r="FS262" s="8"/>
      <c r="FT262" s="8"/>
      <c r="FU262" s="8"/>
      <c r="FV262" s="8"/>
      <c r="FW262" s="8"/>
      <c r="FX262" s="8"/>
      <c r="FY262" s="8"/>
      <c r="FZ262" s="8"/>
      <c r="GA262" s="8"/>
      <c r="GB262" s="8"/>
      <c r="GC262" s="8"/>
      <c r="GD262" s="8"/>
      <c r="GE262" s="8"/>
      <c r="GF262" s="8"/>
      <c r="GG262" s="8"/>
      <c r="GH262" s="8"/>
      <c r="GI262" s="8"/>
      <c r="GJ262" s="8"/>
      <c r="GK262" s="8"/>
      <c r="GL262" s="8"/>
      <c r="GM262" s="8"/>
      <c r="GN262" s="8"/>
      <c r="GO262" s="8"/>
      <c r="GP262" s="8"/>
      <c r="GQ262" s="8"/>
      <c r="GR262" s="8"/>
      <c r="GS262" s="8"/>
      <c r="GT262" s="8"/>
      <c r="GU262" s="8"/>
      <c r="GV262" s="8"/>
      <c r="GW262" s="8"/>
      <c r="GX262" s="8"/>
      <c r="GY262" s="8"/>
      <c r="GZ262" s="8"/>
      <c r="HA262" s="8"/>
      <c r="HB262" s="8"/>
      <c r="HC262" s="8"/>
      <c r="HD262" s="8"/>
      <c r="HE262" s="8"/>
      <c r="HF262" s="8"/>
      <c r="HG262" s="8"/>
      <c r="HH262" s="8"/>
      <c r="HI262" s="8"/>
      <c r="HJ262" s="8"/>
      <c r="HK262" s="8"/>
      <c r="HL262" s="8"/>
      <c r="HM262" s="8"/>
      <c r="HN262" s="8"/>
      <c r="HO262" s="8"/>
      <c r="HP262" s="8"/>
      <c r="HQ262" s="8"/>
      <c r="HR262" s="8"/>
      <c r="HS262" s="8"/>
      <c r="HT262" s="8"/>
      <c r="HU262" s="8"/>
      <c r="HV262" s="8"/>
      <c r="HW262" s="8"/>
      <c r="HX262" s="8"/>
      <c r="HY262" s="8"/>
      <c r="HZ262" s="8"/>
      <c r="IA262" s="8"/>
      <c r="IB262" s="8"/>
      <c r="IC262" s="8"/>
      <c r="ID262" s="8"/>
      <c r="IE262" s="8"/>
      <c r="IF262" s="8"/>
      <c r="IG262" s="8"/>
      <c r="IH262" s="8"/>
      <c r="II262" s="8"/>
      <c r="IJ262" s="8"/>
      <c r="IK262" s="8"/>
      <c r="IL262" s="8"/>
      <c r="IM262" s="8"/>
      <c r="IN262" s="8"/>
      <c r="IO262" s="8"/>
      <c r="IP262" s="8"/>
      <c r="IQ262" s="8"/>
    </row>
    <row r="263" spans="1:251" s="7" customFormat="1">
      <c r="A263" s="1"/>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c r="FJ263" s="8"/>
      <c r="FK263" s="8"/>
      <c r="FL263" s="8"/>
      <c r="FM263" s="8"/>
      <c r="FN263" s="8"/>
      <c r="FO263" s="8"/>
      <c r="FP263" s="8"/>
      <c r="FQ263" s="8"/>
      <c r="FR263" s="8"/>
      <c r="FS263" s="8"/>
      <c r="FT263" s="8"/>
      <c r="FU263" s="8"/>
      <c r="FV263" s="8"/>
      <c r="FW263" s="8"/>
      <c r="FX263" s="8"/>
      <c r="FY263" s="8"/>
      <c r="FZ263" s="8"/>
      <c r="GA263" s="8"/>
      <c r="GB263" s="8"/>
      <c r="GC263" s="8"/>
      <c r="GD263" s="8"/>
      <c r="GE263" s="8"/>
      <c r="GF263" s="8"/>
      <c r="GG263" s="8"/>
      <c r="GH263" s="8"/>
      <c r="GI263" s="8"/>
      <c r="GJ263" s="8"/>
      <c r="GK263" s="8"/>
      <c r="GL263" s="8"/>
      <c r="GM263" s="8"/>
      <c r="GN263" s="8"/>
      <c r="GO263" s="8"/>
      <c r="GP263" s="8"/>
      <c r="GQ263" s="8"/>
      <c r="GR263" s="8"/>
      <c r="GS263" s="8"/>
      <c r="GT263" s="8"/>
      <c r="GU263" s="8"/>
      <c r="GV263" s="8"/>
      <c r="GW263" s="8"/>
      <c r="GX263" s="8"/>
      <c r="GY263" s="8"/>
      <c r="GZ263" s="8"/>
      <c r="HA263" s="8"/>
      <c r="HB263" s="8"/>
      <c r="HC263" s="8"/>
      <c r="HD263" s="8"/>
      <c r="HE263" s="8"/>
      <c r="HF263" s="8"/>
      <c r="HG263" s="8"/>
      <c r="HH263" s="8"/>
      <c r="HI263" s="8"/>
      <c r="HJ263" s="8"/>
      <c r="HK263" s="8"/>
      <c r="HL263" s="8"/>
      <c r="HM263" s="8"/>
      <c r="HN263" s="8"/>
      <c r="HO263" s="8"/>
      <c r="HP263" s="8"/>
      <c r="HQ263" s="8"/>
      <c r="HR263" s="8"/>
      <c r="HS263" s="8"/>
      <c r="HT263" s="8"/>
      <c r="HU263" s="8"/>
      <c r="HV263" s="8"/>
      <c r="HW263" s="8"/>
      <c r="HX263" s="8"/>
      <c r="HY263" s="8"/>
      <c r="HZ263" s="8"/>
      <c r="IA263" s="8"/>
      <c r="IB263" s="8"/>
      <c r="IC263" s="8"/>
      <c r="ID263" s="8"/>
      <c r="IE263" s="8"/>
      <c r="IF263" s="8"/>
      <c r="IG263" s="8"/>
      <c r="IH263" s="8"/>
      <c r="II263" s="8"/>
      <c r="IJ263" s="8"/>
      <c r="IK263" s="8"/>
      <c r="IL263" s="8"/>
      <c r="IM263" s="8"/>
      <c r="IN263" s="8"/>
      <c r="IO263" s="8"/>
      <c r="IP263" s="8"/>
      <c r="IQ263" s="8"/>
    </row>
    <row r="264" spans="1:251" s="7" customFormat="1">
      <c r="A264" s="1"/>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c r="FJ264" s="8"/>
      <c r="FK264" s="8"/>
      <c r="FL264" s="8"/>
      <c r="FM264" s="8"/>
      <c r="FN264" s="8"/>
      <c r="FO264" s="8"/>
      <c r="FP264" s="8"/>
      <c r="FQ264" s="8"/>
      <c r="FR264" s="8"/>
      <c r="FS264" s="8"/>
      <c r="FT264" s="8"/>
      <c r="FU264" s="8"/>
      <c r="FV264" s="8"/>
      <c r="FW264" s="8"/>
      <c r="FX264" s="8"/>
      <c r="FY264" s="8"/>
      <c r="FZ264" s="8"/>
      <c r="GA264" s="8"/>
      <c r="GB264" s="8"/>
      <c r="GC264" s="8"/>
      <c r="GD264" s="8"/>
      <c r="GE264" s="8"/>
      <c r="GF264" s="8"/>
      <c r="GG264" s="8"/>
      <c r="GH264" s="8"/>
      <c r="GI264" s="8"/>
      <c r="GJ264" s="8"/>
      <c r="GK264" s="8"/>
      <c r="GL264" s="8"/>
      <c r="GM264" s="8"/>
      <c r="GN264" s="8"/>
      <c r="GO264" s="8"/>
      <c r="GP264" s="8"/>
      <c r="GQ264" s="8"/>
      <c r="GR264" s="8"/>
      <c r="GS264" s="8"/>
      <c r="GT264" s="8"/>
      <c r="GU264" s="8"/>
      <c r="GV264" s="8"/>
      <c r="GW264" s="8"/>
      <c r="GX264" s="8"/>
      <c r="GY264" s="8"/>
      <c r="GZ264" s="8"/>
      <c r="HA264" s="8"/>
      <c r="HB264" s="8"/>
      <c r="HC264" s="8"/>
      <c r="HD264" s="8"/>
      <c r="HE264" s="8"/>
      <c r="HF264" s="8"/>
      <c r="HG264" s="8"/>
      <c r="HH264" s="8"/>
      <c r="HI264" s="8"/>
      <c r="HJ264" s="8"/>
      <c r="HK264" s="8"/>
      <c r="HL264" s="8"/>
      <c r="HM264" s="8"/>
      <c r="HN264" s="8"/>
      <c r="HO264" s="8"/>
      <c r="HP264" s="8"/>
      <c r="HQ264" s="8"/>
      <c r="HR264" s="8"/>
      <c r="HS264" s="8"/>
      <c r="HT264" s="8"/>
      <c r="HU264" s="8"/>
      <c r="HV264" s="8"/>
      <c r="HW264" s="8"/>
      <c r="HX264" s="8"/>
      <c r="HY264" s="8"/>
      <c r="HZ264" s="8"/>
      <c r="IA264" s="8"/>
      <c r="IB264" s="8"/>
      <c r="IC264" s="8"/>
      <c r="ID264" s="8"/>
      <c r="IE264" s="8"/>
      <c r="IF264" s="8"/>
      <c r="IG264" s="8"/>
      <c r="IH264" s="8"/>
      <c r="II264" s="8"/>
      <c r="IJ264" s="8"/>
      <c r="IK264" s="8"/>
      <c r="IL264" s="8"/>
      <c r="IM264" s="8"/>
      <c r="IN264" s="8"/>
      <c r="IO264" s="8"/>
      <c r="IP264" s="8"/>
      <c r="IQ264" s="8"/>
    </row>
    <row r="265" spans="1:251" s="7" customFormat="1">
      <c r="A265" s="1"/>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c r="FJ265" s="8"/>
      <c r="FK265" s="8"/>
      <c r="FL265" s="8"/>
      <c r="FM265" s="8"/>
      <c r="FN265" s="8"/>
      <c r="FO265" s="8"/>
      <c r="FP265" s="8"/>
      <c r="FQ265" s="8"/>
      <c r="FR265" s="8"/>
      <c r="FS265" s="8"/>
      <c r="FT265" s="8"/>
      <c r="FU265" s="8"/>
      <c r="FV265" s="8"/>
      <c r="FW265" s="8"/>
      <c r="FX265" s="8"/>
      <c r="FY265" s="8"/>
      <c r="FZ265" s="8"/>
      <c r="GA265" s="8"/>
      <c r="GB265" s="8"/>
      <c r="GC265" s="8"/>
      <c r="GD265" s="8"/>
      <c r="GE265" s="8"/>
      <c r="GF265" s="8"/>
      <c r="GG265" s="8"/>
      <c r="GH265" s="8"/>
      <c r="GI265" s="8"/>
      <c r="GJ265" s="8"/>
      <c r="GK265" s="8"/>
      <c r="GL265" s="8"/>
      <c r="GM265" s="8"/>
      <c r="GN265" s="8"/>
      <c r="GO265" s="8"/>
      <c r="GP265" s="8"/>
      <c r="GQ265" s="8"/>
      <c r="GR265" s="8"/>
      <c r="GS265" s="8"/>
      <c r="GT265" s="8"/>
      <c r="GU265" s="8"/>
      <c r="GV265" s="8"/>
      <c r="GW265" s="8"/>
      <c r="GX265" s="8"/>
      <c r="GY265" s="8"/>
      <c r="GZ265" s="8"/>
      <c r="HA265" s="8"/>
      <c r="HB265" s="8"/>
      <c r="HC265" s="8"/>
      <c r="HD265" s="8"/>
      <c r="HE265" s="8"/>
      <c r="HF265" s="8"/>
      <c r="HG265" s="8"/>
      <c r="HH265" s="8"/>
      <c r="HI265" s="8"/>
      <c r="HJ265" s="8"/>
      <c r="HK265" s="8"/>
      <c r="HL265" s="8"/>
      <c r="HM265" s="8"/>
      <c r="HN265" s="8"/>
      <c r="HO265" s="8"/>
      <c r="HP265" s="8"/>
      <c r="HQ265" s="8"/>
      <c r="HR265" s="8"/>
      <c r="HS265" s="8"/>
      <c r="HT265" s="8"/>
      <c r="HU265" s="8"/>
      <c r="HV265" s="8"/>
      <c r="HW265" s="8"/>
      <c r="HX265" s="8"/>
      <c r="HY265" s="8"/>
      <c r="HZ265" s="8"/>
      <c r="IA265" s="8"/>
      <c r="IB265" s="8"/>
      <c r="IC265" s="8"/>
      <c r="ID265" s="8"/>
      <c r="IE265" s="8"/>
      <c r="IF265" s="8"/>
      <c r="IG265" s="8"/>
      <c r="IH265" s="8"/>
      <c r="II265" s="8"/>
      <c r="IJ265" s="8"/>
      <c r="IK265" s="8"/>
      <c r="IL265" s="8"/>
      <c r="IM265" s="8"/>
      <c r="IN265" s="8"/>
      <c r="IO265" s="8"/>
      <c r="IP265" s="8"/>
      <c r="IQ265" s="8"/>
    </row>
    <row r="266" spans="1:251" s="7" customFormat="1">
      <c r="A266" s="1"/>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c r="FJ266" s="8"/>
      <c r="FK266" s="8"/>
      <c r="FL266" s="8"/>
      <c r="FM266" s="8"/>
      <c r="FN266" s="8"/>
      <c r="FO266" s="8"/>
      <c r="FP266" s="8"/>
      <c r="FQ266" s="8"/>
      <c r="FR266" s="8"/>
      <c r="FS266" s="8"/>
      <c r="FT266" s="8"/>
      <c r="FU266" s="8"/>
      <c r="FV266" s="8"/>
      <c r="FW266" s="8"/>
      <c r="FX266" s="8"/>
      <c r="FY266" s="8"/>
      <c r="FZ266" s="8"/>
      <c r="GA266" s="8"/>
      <c r="GB266" s="8"/>
      <c r="GC266" s="8"/>
      <c r="GD266" s="8"/>
      <c r="GE266" s="8"/>
      <c r="GF266" s="8"/>
      <c r="GG266" s="8"/>
      <c r="GH266" s="8"/>
      <c r="GI266" s="8"/>
      <c r="GJ266" s="8"/>
      <c r="GK266" s="8"/>
      <c r="GL266" s="8"/>
      <c r="GM266" s="8"/>
      <c r="GN266" s="8"/>
      <c r="GO266" s="8"/>
      <c r="GP266" s="8"/>
      <c r="GQ266" s="8"/>
      <c r="GR266" s="8"/>
      <c r="GS266" s="8"/>
      <c r="GT266" s="8"/>
      <c r="GU266" s="8"/>
      <c r="GV266" s="8"/>
      <c r="GW266" s="8"/>
      <c r="GX266" s="8"/>
      <c r="GY266" s="8"/>
      <c r="GZ266" s="8"/>
      <c r="HA266" s="8"/>
      <c r="HB266" s="8"/>
      <c r="HC266" s="8"/>
      <c r="HD266" s="8"/>
      <c r="HE266" s="8"/>
      <c r="HF266" s="8"/>
      <c r="HG266" s="8"/>
      <c r="HH266" s="8"/>
      <c r="HI266" s="8"/>
      <c r="HJ266" s="8"/>
      <c r="HK266" s="8"/>
      <c r="HL266" s="8"/>
      <c r="HM266" s="8"/>
      <c r="HN266" s="8"/>
      <c r="HO266" s="8"/>
      <c r="HP266" s="8"/>
      <c r="HQ266" s="8"/>
      <c r="HR266" s="8"/>
      <c r="HS266" s="8"/>
      <c r="HT266" s="8"/>
      <c r="HU266" s="8"/>
      <c r="HV266" s="8"/>
      <c r="HW266" s="8"/>
      <c r="HX266" s="8"/>
      <c r="HY266" s="8"/>
      <c r="HZ266" s="8"/>
      <c r="IA266" s="8"/>
      <c r="IB266" s="8"/>
      <c r="IC266" s="8"/>
      <c r="ID266" s="8"/>
      <c r="IE266" s="8"/>
      <c r="IF266" s="8"/>
      <c r="IG266" s="8"/>
      <c r="IH266" s="8"/>
      <c r="II266" s="8"/>
      <c r="IJ266" s="8"/>
      <c r="IK266" s="8"/>
      <c r="IL266" s="8"/>
      <c r="IM266" s="8"/>
      <c r="IN266" s="8"/>
      <c r="IO266" s="8"/>
      <c r="IP266" s="8"/>
      <c r="IQ266" s="8"/>
    </row>
    <row r="267" spans="1:251" s="7" customFormat="1">
      <c r="A267" s="1"/>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c r="FJ267" s="8"/>
      <c r="FK267" s="8"/>
      <c r="FL267" s="8"/>
      <c r="FM267" s="8"/>
      <c r="FN267" s="8"/>
      <c r="FO267" s="8"/>
      <c r="FP267" s="8"/>
      <c r="FQ267" s="8"/>
      <c r="FR267" s="8"/>
      <c r="FS267" s="8"/>
      <c r="FT267" s="8"/>
      <c r="FU267" s="8"/>
      <c r="FV267" s="8"/>
      <c r="FW267" s="8"/>
      <c r="FX267" s="8"/>
      <c r="FY267" s="8"/>
      <c r="FZ267" s="8"/>
      <c r="GA267" s="8"/>
      <c r="GB267" s="8"/>
      <c r="GC267" s="8"/>
      <c r="GD267" s="8"/>
      <c r="GE267" s="8"/>
      <c r="GF267" s="8"/>
      <c r="GG267" s="8"/>
      <c r="GH267" s="8"/>
      <c r="GI267" s="8"/>
      <c r="GJ267" s="8"/>
      <c r="GK267" s="8"/>
      <c r="GL267" s="8"/>
      <c r="GM267" s="8"/>
      <c r="GN267" s="8"/>
      <c r="GO267" s="8"/>
      <c r="GP267" s="8"/>
      <c r="GQ267" s="8"/>
      <c r="GR267" s="8"/>
      <c r="GS267" s="8"/>
      <c r="GT267" s="8"/>
      <c r="GU267" s="8"/>
      <c r="GV267" s="8"/>
      <c r="GW267" s="8"/>
      <c r="GX267" s="8"/>
      <c r="GY267" s="8"/>
      <c r="GZ267" s="8"/>
      <c r="HA267" s="8"/>
      <c r="HB267" s="8"/>
      <c r="HC267" s="8"/>
      <c r="HD267" s="8"/>
      <c r="HE267" s="8"/>
      <c r="HF267" s="8"/>
      <c r="HG267" s="8"/>
      <c r="HH267" s="8"/>
      <c r="HI267" s="8"/>
      <c r="HJ267" s="8"/>
      <c r="HK267" s="8"/>
      <c r="HL267" s="8"/>
      <c r="HM267" s="8"/>
      <c r="HN267" s="8"/>
      <c r="HO267" s="8"/>
      <c r="HP267" s="8"/>
      <c r="HQ267" s="8"/>
      <c r="HR267" s="8"/>
      <c r="HS267" s="8"/>
      <c r="HT267" s="8"/>
      <c r="HU267" s="8"/>
      <c r="HV267" s="8"/>
      <c r="HW267" s="8"/>
      <c r="HX267" s="8"/>
      <c r="HY267" s="8"/>
      <c r="HZ267" s="8"/>
      <c r="IA267" s="8"/>
      <c r="IB267" s="8"/>
      <c r="IC267" s="8"/>
      <c r="ID267" s="8"/>
      <c r="IE267" s="8"/>
      <c r="IF267" s="8"/>
      <c r="IG267" s="8"/>
      <c r="IH267" s="8"/>
      <c r="II267" s="8"/>
      <c r="IJ267" s="8"/>
      <c r="IK267" s="8"/>
      <c r="IL267" s="8"/>
      <c r="IM267" s="8"/>
      <c r="IN267" s="8"/>
      <c r="IO267" s="8"/>
      <c r="IP267" s="8"/>
      <c r="IQ267" s="8"/>
    </row>
    <row r="268" spans="1:251" s="7" customFormat="1">
      <c r="A268" s="1"/>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c r="HB268" s="8"/>
      <c r="HC268" s="8"/>
      <c r="HD268" s="8"/>
      <c r="HE268" s="8"/>
      <c r="HF268" s="8"/>
      <c r="HG268" s="8"/>
      <c r="HH268" s="8"/>
      <c r="HI268" s="8"/>
      <c r="HJ268" s="8"/>
      <c r="HK268" s="8"/>
      <c r="HL268" s="8"/>
      <c r="HM268" s="8"/>
      <c r="HN268" s="8"/>
      <c r="HO268" s="8"/>
      <c r="HP268" s="8"/>
      <c r="HQ268" s="8"/>
      <c r="HR268" s="8"/>
      <c r="HS268" s="8"/>
      <c r="HT268" s="8"/>
      <c r="HU268" s="8"/>
      <c r="HV268" s="8"/>
      <c r="HW268" s="8"/>
      <c r="HX268" s="8"/>
      <c r="HY268" s="8"/>
      <c r="HZ268" s="8"/>
      <c r="IA268" s="8"/>
      <c r="IB268" s="8"/>
      <c r="IC268" s="8"/>
      <c r="ID268" s="8"/>
      <c r="IE268" s="8"/>
      <c r="IF268" s="8"/>
      <c r="IG268" s="8"/>
      <c r="IH268" s="8"/>
      <c r="II268" s="8"/>
      <c r="IJ268" s="8"/>
      <c r="IK268" s="8"/>
      <c r="IL268" s="8"/>
      <c r="IM268" s="8"/>
      <c r="IN268" s="8"/>
      <c r="IO268" s="8"/>
      <c r="IP268" s="8"/>
      <c r="IQ268" s="8"/>
    </row>
    <row r="269" spans="1:251" s="7" customFormat="1">
      <c r="A269" s="1"/>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c r="FJ269" s="8"/>
      <c r="FK269" s="8"/>
      <c r="FL269" s="8"/>
      <c r="FM269" s="8"/>
      <c r="FN269" s="8"/>
      <c r="FO269" s="8"/>
      <c r="FP269" s="8"/>
      <c r="FQ269" s="8"/>
      <c r="FR269" s="8"/>
      <c r="FS269" s="8"/>
      <c r="FT269" s="8"/>
      <c r="FU269" s="8"/>
      <c r="FV269" s="8"/>
      <c r="FW269" s="8"/>
      <c r="FX269" s="8"/>
      <c r="FY269" s="8"/>
      <c r="FZ269" s="8"/>
      <c r="GA269" s="8"/>
      <c r="GB269" s="8"/>
      <c r="GC269" s="8"/>
      <c r="GD269" s="8"/>
      <c r="GE269" s="8"/>
      <c r="GF269" s="8"/>
      <c r="GG269" s="8"/>
      <c r="GH269" s="8"/>
      <c r="GI269" s="8"/>
      <c r="GJ269" s="8"/>
      <c r="GK269" s="8"/>
      <c r="GL269" s="8"/>
      <c r="GM269" s="8"/>
      <c r="GN269" s="8"/>
      <c r="GO269" s="8"/>
      <c r="GP269" s="8"/>
      <c r="GQ269" s="8"/>
      <c r="GR269" s="8"/>
      <c r="GS269" s="8"/>
      <c r="GT269" s="8"/>
      <c r="GU269" s="8"/>
      <c r="GV269" s="8"/>
      <c r="GW269" s="8"/>
      <c r="GX269" s="8"/>
      <c r="GY269" s="8"/>
      <c r="GZ269" s="8"/>
      <c r="HA269" s="8"/>
      <c r="HB269" s="8"/>
      <c r="HC269" s="8"/>
      <c r="HD269" s="8"/>
      <c r="HE269" s="8"/>
      <c r="HF269" s="8"/>
      <c r="HG269" s="8"/>
      <c r="HH269" s="8"/>
      <c r="HI269" s="8"/>
      <c r="HJ269" s="8"/>
      <c r="HK269" s="8"/>
      <c r="HL269" s="8"/>
      <c r="HM269" s="8"/>
      <c r="HN269" s="8"/>
      <c r="HO269" s="8"/>
      <c r="HP269" s="8"/>
      <c r="HQ269" s="8"/>
      <c r="HR269" s="8"/>
      <c r="HS269" s="8"/>
      <c r="HT269" s="8"/>
      <c r="HU269" s="8"/>
      <c r="HV269" s="8"/>
      <c r="HW269" s="8"/>
      <c r="HX269" s="8"/>
      <c r="HY269" s="8"/>
      <c r="HZ269" s="8"/>
      <c r="IA269" s="8"/>
      <c r="IB269" s="8"/>
      <c r="IC269" s="8"/>
      <c r="ID269" s="8"/>
      <c r="IE269" s="8"/>
      <c r="IF269" s="8"/>
      <c r="IG269" s="8"/>
      <c r="IH269" s="8"/>
      <c r="II269" s="8"/>
      <c r="IJ269" s="8"/>
      <c r="IK269" s="8"/>
      <c r="IL269" s="8"/>
      <c r="IM269" s="8"/>
      <c r="IN269" s="8"/>
      <c r="IO269" s="8"/>
      <c r="IP269" s="8"/>
      <c r="IQ269" s="8"/>
    </row>
    <row r="270" spans="1:251" s="7" customFormat="1">
      <c r="A270" s="1"/>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c r="HB270" s="8"/>
      <c r="HC270" s="8"/>
      <c r="HD270" s="8"/>
      <c r="HE270" s="8"/>
      <c r="HF270" s="8"/>
      <c r="HG270" s="8"/>
      <c r="HH270" s="8"/>
      <c r="HI270" s="8"/>
      <c r="HJ270" s="8"/>
      <c r="HK270" s="8"/>
      <c r="HL270" s="8"/>
      <c r="HM270" s="8"/>
      <c r="HN270" s="8"/>
      <c r="HO270" s="8"/>
      <c r="HP270" s="8"/>
      <c r="HQ270" s="8"/>
      <c r="HR270" s="8"/>
      <c r="HS270" s="8"/>
      <c r="HT270" s="8"/>
      <c r="HU270" s="8"/>
      <c r="HV270" s="8"/>
      <c r="HW270" s="8"/>
      <c r="HX270" s="8"/>
      <c r="HY270" s="8"/>
      <c r="HZ270" s="8"/>
      <c r="IA270" s="8"/>
      <c r="IB270" s="8"/>
      <c r="IC270" s="8"/>
      <c r="ID270" s="8"/>
      <c r="IE270" s="8"/>
      <c r="IF270" s="8"/>
      <c r="IG270" s="8"/>
      <c r="IH270" s="8"/>
      <c r="II270" s="8"/>
      <c r="IJ270" s="8"/>
      <c r="IK270" s="8"/>
      <c r="IL270" s="8"/>
      <c r="IM270" s="8"/>
      <c r="IN270" s="8"/>
      <c r="IO270" s="8"/>
      <c r="IP270" s="8"/>
      <c r="IQ270" s="8"/>
    </row>
    <row r="271" spans="1:251" s="7" customFormat="1">
      <c r="A271" s="1"/>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c r="FO271" s="8"/>
      <c r="FP271" s="8"/>
      <c r="FQ271" s="8"/>
      <c r="FR271" s="8"/>
      <c r="FS271" s="8"/>
      <c r="FT271" s="8"/>
      <c r="FU271" s="8"/>
      <c r="FV271" s="8"/>
      <c r="FW271" s="8"/>
      <c r="FX271" s="8"/>
      <c r="FY271" s="8"/>
      <c r="FZ271" s="8"/>
      <c r="GA271" s="8"/>
      <c r="GB271" s="8"/>
      <c r="GC271" s="8"/>
      <c r="GD271" s="8"/>
      <c r="GE271" s="8"/>
      <c r="GF271" s="8"/>
      <c r="GG271" s="8"/>
      <c r="GH271" s="8"/>
      <c r="GI271" s="8"/>
      <c r="GJ271" s="8"/>
      <c r="GK271" s="8"/>
      <c r="GL271" s="8"/>
      <c r="GM271" s="8"/>
      <c r="GN271" s="8"/>
      <c r="GO271" s="8"/>
      <c r="GP271" s="8"/>
      <c r="GQ271" s="8"/>
      <c r="GR271" s="8"/>
      <c r="GS271" s="8"/>
      <c r="GT271" s="8"/>
      <c r="GU271" s="8"/>
      <c r="GV271" s="8"/>
      <c r="GW271" s="8"/>
      <c r="GX271" s="8"/>
      <c r="GY271" s="8"/>
      <c r="GZ271" s="8"/>
      <c r="HA271" s="8"/>
      <c r="HB271" s="8"/>
      <c r="HC271" s="8"/>
      <c r="HD271" s="8"/>
      <c r="HE271" s="8"/>
      <c r="HF271" s="8"/>
      <c r="HG271" s="8"/>
      <c r="HH271" s="8"/>
      <c r="HI271" s="8"/>
      <c r="HJ271" s="8"/>
      <c r="HK271" s="8"/>
      <c r="HL271" s="8"/>
      <c r="HM271" s="8"/>
      <c r="HN271" s="8"/>
      <c r="HO271" s="8"/>
      <c r="HP271" s="8"/>
      <c r="HQ271" s="8"/>
      <c r="HR271" s="8"/>
      <c r="HS271" s="8"/>
      <c r="HT271" s="8"/>
      <c r="HU271" s="8"/>
      <c r="HV271" s="8"/>
      <c r="HW271" s="8"/>
      <c r="HX271" s="8"/>
      <c r="HY271" s="8"/>
      <c r="HZ271" s="8"/>
      <c r="IA271" s="8"/>
      <c r="IB271" s="8"/>
      <c r="IC271" s="8"/>
      <c r="ID271" s="8"/>
      <c r="IE271" s="8"/>
      <c r="IF271" s="8"/>
      <c r="IG271" s="8"/>
      <c r="IH271" s="8"/>
      <c r="II271" s="8"/>
      <c r="IJ271" s="8"/>
      <c r="IK271" s="8"/>
      <c r="IL271" s="8"/>
      <c r="IM271" s="8"/>
      <c r="IN271" s="8"/>
      <c r="IO271" s="8"/>
      <c r="IP271" s="8"/>
      <c r="IQ271" s="8"/>
    </row>
    <row r="272" spans="1:251" s="7" customFormat="1">
      <c r="A272" s="1"/>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8"/>
      <c r="GC272" s="8"/>
      <c r="GD272" s="8"/>
      <c r="GE272" s="8"/>
      <c r="GF272" s="8"/>
      <c r="GG272" s="8"/>
      <c r="GH272" s="8"/>
      <c r="GI272" s="8"/>
      <c r="GJ272" s="8"/>
      <c r="GK272" s="8"/>
      <c r="GL272" s="8"/>
      <c r="GM272" s="8"/>
      <c r="GN272" s="8"/>
      <c r="GO272" s="8"/>
      <c r="GP272" s="8"/>
      <c r="GQ272" s="8"/>
      <c r="GR272" s="8"/>
      <c r="GS272" s="8"/>
      <c r="GT272" s="8"/>
      <c r="GU272" s="8"/>
      <c r="GV272" s="8"/>
      <c r="GW272" s="8"/>
      <c r="GX272" s="8"/>
      <c r="GY272" s="8"/>
      <c r="GZ272" s="8"/>
      <c r="HA272" s="8"/>
      <c r="HB272" s="8"/>
      <c r="HC272" s="8"/>
      <c r="HD272" s="8"/>
      <c r="HE272" s="8"/>
      <c r="HF272" s="8"/>
      <c r="HG272" s="8"/>
      <c r="HH272" s="8"/>
      <c r="HI272" s="8"/>
      <c r="HJ272" s="8"/>
      <c r="HK272" s="8"/>
      <c r="HL272" s="8"/>
      <c r="HM272" s="8"/>
      <c r="HN272" s="8"/>
      <c r="HO272" s="8"/>
      <c r="HP272" s="8"/>
      <c r="HQ272" s="8"/>
      <c r="HR272" s="8"/>
      <c r="HS272" s="8"/>
      <c r="HT272" s="8"/>
      <c r="HU272" s="8"/>
      <c r="HV272" s="8"/>
      <c r="HW272" s="8"/>
      <c r="HX272" s="8"/>
      <c r="HY272" s="8"/>
      <c r="HZ272" s="8"/>
      <c r="IA272" s="8"/>
      <c r="IB272" s="8"/>
      <c r="IC272" s="8"/>
      <c r="ID272" s="8"/>
      <c r="IE272" s="8"/>
      <c r="IF272" s="8"/>
      <c r="IG272" s="8"/>
      <c r="IH272" s="8"/>
      <c r="II272" s="8"/>
      <c r="IJ272" s="8"/>
      <c r="IK272" s="8"/>
      <c r="IL272" s="8"/>
      <c r="IM272" s="8"/>
      <c r="IN272" s="8"/>
      <c r="IO272" s="8"/>
      <c r="IP272" s="8"/>
      <c r="IQ272" s="8"/>
    </row>
    <row r="273" spans="1:251" s="7" customFormat="1">
      <c r="A273" s="1"/>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c r="FJ273" s="8"/>
      <c r="FK273" s="8"/>
      <c r="FL273" s="8"/>
      <c r="FM273" s="8"/>
      <c r="FN273" s="8"/>
      <c r="FO273" s="8"/>
      <c r="FP273" s="8"/>
      <c r="FQ273" s="8"/>
      <c r="FR273" s="8"/>
      <c r="FS273" s="8"/>
      <c r="FT273" s="8"/>
      <c r="FU273" s="8"/>
      <c r="FV273" s="8"/>
      <c r="FW273" s="8"/>
      <c r="FX273" s="8"/>
      <c r="FY273" s="8"/>
      <c r="FZ273" s="8"/>
      <c r="GA273" s="8"/>
      <c r="GB273" s="8"/>
      <c r="GC273" s="8"/>
      <c r="GD273" s="8"/>
      <c r="GE273" s="8"/>
      <c r="GF273" s="8"/>
      <c r="GG273" s="8"/>
      <c r="GH273" s="8"/>
      <c r="GI273" s="8"/>
      <c r="GJ273" s="8"/>
      <c r="GK273" s="8"/>
      <c r="GL273" s="8"/>
      <c r="GM273" s="8"/>
      <c r="GN273" s="8"/>
      <c r="GO273" s="8"/>
      <c r="GP273" s="8"/>
      <c r="GQ273" s="8"/>
      <c r="GR273" s="8"/>
      <c r="GS273" s="8"/>
      <c r="GT273" s="8"/>
      <c r="GU273" s="8"/>
      <c r="GV273" s="8"/>
      <c r="GW273" s="8"/>
      <c r="GX273" s="8"/>
      <c r="GY273" s="8"/>
      <c r="GZ273" s="8"/>
      <c r="HA273" s="8"/>
      <c r="HB273" s="8"/>
      <c r="HC273" s="8"/>
      <c r="HD273" s="8"/>
      <c r="HE273" s="8"/>
      <c r="HF273" s="8"/>
      <c r="HG273" s="8"/>
      <c r="HH273" s="8"/>
      <c r="HI273" s="8"/>
      <c r="HJ273" s="8"/>
      <c r="HK273" s="8"/>
      <c r="HL273" s="8"/>
      <c r="HM273" s="8"/>
      <c r="HN273" s="8"/>
      <c r="HO273" s="8"/>
      <c r="HP273" s="8"/>
      <c r="HQ273" s="8"/>
      <c r="HR273" s="8"/>
      <c r="HS273" s="8"/>
      <c r="HT273" s="8"/>
      <c r="HU273" s="8"/>
      <c r="HV273" s="8"/>
      <c r="HW273" s="8"/>
      <c r="HX273" s="8"/>
      <c r="HY273" s="8"/>
      <c r="HZ273" s="8"/>
      <c r="IA273" s="8"/>
      <c r="IB273" s="8"/>
      <c r="IC273" s="8"/>
      <c r="ID273" s="8"/>
      <c r="IE273" s="8"/>
      <c r="IF273" s="8"/>
      <c r="IG273" s="8"/>
      <c r="IH273" s="8"/>
      <c r="II273" s="8"/>
      <c r="IJ273" s="8"/>
      <c r="IK273" s="8"/>
      <c r="IL273" s="8"/>
      <c r="IM273" s="8"/>
      <c r="IN273" s="8"/>
      <c r="IO273" s="8"/>
      <c r="IP273" s="8"/>
      <c r="IQ273" s="8"/>
    </row>
    <row r="274" spans="1:251" s="7" customFormat="1">
      <c r="A274" s="1"/>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c r="FJ274" s="8"/>
      <c r="FK274" s="8"/>
      <c r="FL274" s="8"/>
      <c r="FM274" s="8"/>
      <c r="FN274" s="8"/>
      <c r="FO274" s="8"/>
      <c r="FP274" s="8"/>
      <c r="FQ274" s="8"/>
      <c r="FR274" s="8"/>
      <c r="FS274" s="8"/>
      <c r="FT274" s="8"/>
      <c r="FU274" s="8"/>
      <c r="FV274" s="8"/>
      <c r="FW274" s="8"/>
      <c r="FX274" s="8"/>
      <c r="FY274" s="8"/>
      <c r="FZ274" s="8"/>
      <c r="GA274" s="8"/>
      <c r="GB274" s="8"/>
      <c r="GC274" s="8"/>
      <c r="GD274" s="8"/>
      <c r="GE274" s="8"/>
      <c r="GF274" s="8"/>
      <c r="GG274" s="8"/>
      <c r="GH274" s="8"/>
      <c r="GI274" s="8"/>
      <c r="GJ274" s="8"/>
      <c r="GK274" s="8"/>
      <c r="GL274" s="8"/>
      <c r="GM274" s="8"/>
      <c r="GN274" s="8"/>
      <c r="GO274" s="8"/>
      <c r="GP274" s="8"/>
      <c r="GQ274" s="8"/>
      <c r="GR274" s="8"/>
      <c r="GS274" s="8"/>
      <c r="GT274" s="8"/>
      <c r="GU274" s="8"/>
      <c r="GV274" s="8"/>
      <c r="GW274" s="8"/>
      <c r="GX274" s="8"/>
      <c r="GY274" s="8"/>
      <c r="GZ274" s="8"/>
      <c r="HA274" s="8"/>
      <c r="HB274" s="8"/>
      <c r="HC274" s="8"/>
      <c r="HD274" s="8"/>
      <c r="HE274" s="8"/>
      <c r="HF274" s="8"/>
      <c r="HG274" s="8"/>
      <c r="HH274" s="8"/>
      <c r="HI274" s="8"/>
      <c r="HJ274" s="8"/>
      <c r="HK274" s="8"/>
      <c r="HL274" s="8"/>
      <c r="HM274" s="8"/>
      <c r="HN274" s="8"/>
      <c r="HO274" s="8"/>
      <c r="HP274" s="8"/>
      <c r="HQ274" s="8"/>
      <c r="HR274" s="8"/>
      <c r="HS274" s="8"/>
      <c r="HT274" s="8"/>
      <c r="HU274" s="8"/>
      <c r="HV274" s="8"/>
      <c r="HW274" s="8"/>
      <c r="HX274" s="8"/>
      <c r="HY274" s="8"/>
      <c r="HZ274" s="8"/>
      <c r="IA274" s="8"/>
      <c r="IB274" s="8"/>
      <c r="IC274" s="8"/>
      <c r="ID274" s="8"/>
      <c r="IE274" s="8"/>
      <c r="IF274" s="8"/>
      <c r="IG274" s="8"/>
      <c r="IH274" s="8"/>
      <c r="II274" s="8"/>
      <c r="IJ274" s="8"/>
      <c r="IK274" s="8"/>
      <c r="IL274" s="8"/>
      <c r="IM274" s="8"/>
      <c r="IN274" s="8"/>
      <c r="IO274" s="8"/>
      <c r="IP274" s="8"/>
      <c r="IQ274" s="8"/>
    </row>
    <row r="275" spans="1:251" s="7" customFormat="1">
      <c r="A275" s="1"/>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c r="HB275" s="8"/>
      <c r="HC275" s="8"/>
      <c r="HD275" s="8"/>
      <c r="HE275" s="8"/>
      <c r="HF275" s="8"/>
      <c r="HG275" s="8"/>
      <c r="HH275" s="8"/>
      <c r="HI275" s="8"/>
      <c r="HJ275" s="8"/>
      <c r="HK275" s="8"/>
      <c r="HL275" s="8"/>
      <c r="HM275" s="8"/>
      <c r="HN275" s="8"/>
      <c r="HO275" s="8"/>
      <c r="HP275" s="8"/>
      <c r="HQ275" s="8"/>
      <c r="HR275" s="8"/>
      <c r="HS275" s="8"/>
      <c r="HT275" s="8"/>
      <c r="HU275" s="8"/>
      <c r="HV275" s="8"/>
      <c r="HW275" s="8"/>
      <c r="HX275" s="8"/>
      <c r="HY275" s="8"/>
      <c r="HZ275" s="8"/>
      <c r="IA275" s="8"/>
      <c r="IB275" s="8"/>
      <c r="IC275" s="8"/>
      <c r="ID275" s="8"/>
      <c r="IE275" s="8"/>
      <c r="IF275" s="8"/>
      <c r="IG275" s="8"/>
      <c r="IH275" s="8"/>
      <c r="II275" s="8"/>
      <c r="IJ275" s="8"/>
      <c r="IK275" s="8"/>
      <c r="IL275" s="8"/>
      <c r="IM275" s="8"/>
      <c r="IN275" s="8"/>
      <c r="IO275" s="8"/>
      <c r="IP275" s="8"/>
      <c r="IQ275" s="8"/>
    </row>
    <row r="276" spans="1:251" s="7" customFormat="1">
      <c r="A276" s="1"/>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row>
    <row r="277" spans="1:251" s="7" customFormat="1">
      <c r="A277" s="1"/>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row>
    <row r="278" spans="1:251" s="7" customFormat="1">
      <c r="A278" s="1"/>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row>
    <row r="279" spans="1:251" s="7" customFormat="1">
      <c r="A279" s="1"/>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row>
    <row r="280" spans="1:251" s="7" customFormat="1">
      <c r="A280" s="1"/>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row>
    <row r="281" spans="1:251" s="7" customFormat="1">
      <c r="A281" s="1"/>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row>
    <row r="282" spans="1:251" s="7" customFormat="1">
      <c r="A282" s="1"/>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row>
    <row r="283" spans="1:251" s="7" customFormat="1">
      <c r="A283" s="1"/>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row>
    <row r="284" spans="1:251" s="7" customFormat="1">
      <c r="A284" s="1"/>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row>
    <row r="285" spans="1:251" s="7" customFormat="1">
      <c r="A285" s="1"/>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row>
    <row r="286" spans="1:251" s="7" customFormat="1">
      <c r="A286" s="1"/>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row>
    <row r="287" spans="1:251" s="7" customFormat="1">
      <c r="A287" s="1"/>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row>
    <row r="288" spans="1:251" s="7" customFormat="1">
      <c r="A288" s="1"/>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row>
    <row r="289" spans="1:251" s="7" customFormat="1">
      <c r="A289" s="1"/>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row>
    <row r="290" spans="1:251" s="7" customFormat="1">
      <c r="A290" s="1"/>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row>
    <row r="291" spans="1:251" s="7" customFormat="1">
      <c r="A291" s="1"/>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row>
    <row r="292" spans="1:251" s="7" customFormat="1">
      <c r="A292" s="1"/>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row>
    <row r="293" spans="1:251" s="7" customFormat="1">
      <c r="A293" s="1"/>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row>
    <row r="294" spans="1:251" s="7" customFormat="1">
      <c r="A294" s="1"/>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row>
    <row r="295" spans="1:251" s="7" customFormat="1">
      <c r="A295" s="1"/>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row>
    <row r="296" spans="1:251" s="7" customFormat="1">
      <c r="A296" s="1"/>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row>
    <row r="297" spans="1:251" s="7" customFormat="1">
      <c r="A297" s="1"/>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row>
    <row r="298" spans="1:251" s="7" customFormat="1">
      <c r="A298" s="1"/>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row>
    <row r="299" spans="1:251" s="7" customFormat="1">
      <c r="A299" s="1"/>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row>
    <row r="300" spans="1:251" s="7" customFormat="1">
      <c r="A300" s="1"/>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row>
    <row r="301" spans="1:251" s="7" customFormat="1">
      <c r="A301" s="1"/>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row>
    <row r="302" spans="1:251" s="7" customFormat="1">
      <c r="A302" s="1"/>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row>
    <row r="303" spans="1:251" s="7" customFormat="1">
      <c r="A303" s="1"/>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row>
    <row r="304" spans="1:251" s="7" customFormat="1">
      <c r="A304" s="1"/>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row>
    <row r="305" spans="1:251" s="7" customFormat="1">
      <c r="A305" s="1"/>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row>
    <row r="306" spans="1:251" s="7" customFormat="1">
      <c r="A306" s="1"/>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row>
    <row r="307" spans="1:251" s="7" customFormat="1">
      <c r="A307" s="1"/>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row>
    <row r="308" spans="1:251" s="7" customFormat="1">
      <c r="A308" s="1"/>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row>
    <row r="309" spans="1:251" s="7" customFormat="1">
      <c r="A309" s="1"/>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row>
    <row r="310" spans="1:251" s="7" customFormat="1">
      <c r="A310" s="1"/>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row>
    <row r="311" spans="1:251" s="7" customFormat="1">
      <c r="A311" s="1"/>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row>
    <row r="312" spans="1:251" s="7" customFormat="1">
      <c r="A312" s="1"/>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row>
    <row r="313" spans="1:251" s="7" customFormat="1">
      <c r="A313" s="1"/>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row>
    <row r="314" spans="1:251" s="7" customFormat="1">
      <c r="A314" s="1"/>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row>
    <row r="315" spans="1:251" s="7" customFormat="1">
      <c r="A315" s="1"/>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row>
    <row r="316" spans="1:251" s="7" customFormat="1">
      <c r="A316" s="1"/>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row>
    <row r="317" spans="1:251" s="7" customFormat="1">
      <c r="A317" s="1"/>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row>
    <row r="318" spans="1:251" s="7" customFormat="1">
      <c r="A318" s="1"/>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row>
    <row r="319" spans="1:251" s="7" customFormat="1">
      <c r="A319" s="1"/>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row>
    <row r="320" spans="1:251" s="7" customFormat="1">
      <c r="A320" s="1"/>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row>
    <row r="321" spans="1:251" s="7" customFormat="1">
      <c r="A321" s="1"/>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row>
    <row r="322" spans="1:251" s="7" customFormat="1">
      <c r="A322" s="1"/>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row>
    <row r="323" spans="1:251" s="7" customFormat="1">
      <c r="A323" s="1"/>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row>
    <row r="324" spans="1:251" s="7" customFormat="1">
      <c r="A324" s="1"/>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row>
    <row r="325" spans="1:251" s="7" customFormat="1">
      <c r="A325" s="1"/>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row>
    <row r="326" spans="1:251" s="7" customFormat="1">
      <c r="A326" s="1"/>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row>
    <row r="327" spans="1:251" s="7" customFormat="1">
      <c r="A327" s="1"/>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row>
    <row r="328" spans="1:251" s="7" customFormat="1">
      <c r="A328" s="1"/>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row>
    <row r="329" spans="1:251" s="7" customFormat="1">
      <c r="A329" s="1"/>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row>
    <row r="330" spans="1:251" s="7" customFormat="1">
      <c r="A330" s="1"/>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row>
    <row r="331" spans="1:251" s="7" customFormat="1">
      <c r="A331" s="1"/>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row>
    <row r="332" spans="1:251" s="7" customFormat="1">
      <c r="A332" s="1"/>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row>
    <row r="333" spans="1:251" s="7" customFormat="1">
      <c r="A333" s="1"/>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row>
    <row r="334" spans="1:251" s="7" customFormat="1">
      <c r="A334" s="1"/>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row>
    <row r="335" spans="1:251" s="7" customFormat="1">
      <c r="A335" s="1"/>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row>
    <row r="336" spans="1:251" s="7" customFormat="1">
      <c r="A336" s="1"/>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row>
    <row r="337" spans="1:251" s="7" customFormat="1">
      <c r="A337" s="1"/>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row>
    <row r="338" spans="1:251" s="7" customFormat="1">
      <c r="A338" s="1"/>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row>
    <row r="339" spans="1:251" s="7" customFormat="1">
      <c r="A339" s="1"/>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row>
    <row r="340" spans="1:251" s="7" customFormat="1">
      <c r="A340" s="1"/>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row>
    <row r="341" spans="1:251" s="7" customFormat="1">
      <c r="A341" s="1"/>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row>
    <row r="342" spans="1:251" s="7" customFormat="1">
      <c r="A342" s="1"/>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row>
    <row r="343" spans="1:251" s="7" customFormat="1">
      <c r="A343" s="1"/>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row>
    <row r="344" spans="1:251" s="7" customFormat="1">
      <c r="A344" s="1"/>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row>
    <row r="345" spans="1:251" s="7" customFormat="1">
      <c r="A345" s="1"/>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row>
    <row r="346" spans="1:251" s="7" customFormat="1">
      <c r="A346" s="1"/>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row>
    <row r="347" spans="1:251" s="7" customFormat="1">
      <c r="A347" s="1"/>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row>
    <row r="348" spans="1:251" s="7" customFormat="1">
      <c r="A348" s="1"/>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row>
    <row r="349" spans="1:251" s="7" customFormat="1">
      <c r="A349" s="1"/>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row>
    <row r="350" spans="1:251" s="7" customFormat="1">
      <c r="A350" s="1"/>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row>
    <row r="351" spans="1:251" s="7" customFormat="1">
      <c r="A351" s="1"/>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row>
    <row r="352" spans="1:251" s="7" customFormat="1">
      <c r="A352" s="1"/>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row>
    <row r="353" spans="1:251" s="7" customFormat="1">
      <c r="A353" s="1"/>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row>
    <row r="354" spans="1:251" s="7" customFormat="1">
      <c r="A354" s="1"/>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row>
    <row r="355" spans="1:251" s="7" customFormat="1">
      <c r="A355" s="1"/>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row>
    <row r="356" spans="1:251" s="7" customFormat="1">
      <c r="A356" s="1"/>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row>
    <row r="357" spans="1:251" s="7" customFormat="1">
      <c r="A357" s="1"/>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row>
    <row r="358" spans="1:251" s="7" customFormat="1">
      <c r="A358" s="1"/>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row>
    <row r="359" spans="1:251" s="7" customFormat="1">
      <c r="A359" s="1"/>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row>
    <row r="360" spans="1:251" s="7" customFormat="1">
      <c r="A360" s="1"/>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row>
    <row r="361" spans="1:251" s="7" customFormat="1">
      <c r="A361" s="1"/>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row>
    <row r="362" spans="1:251" s="7" customFormat="1">
      <c r="A362" s="1"/>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row>
    <row r="363" spans="1:251" s="7" customFormat="1">
      <c r="A363" s="1"/>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row>
    <row r="364" spans="1:251" s="7" customFormat="1">
      <c r="A364" s="1"/>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row>
    <row r="365" spans="1:251" s="7" customFormat="1">
      <c r="A365" s="1"/>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row>
    <row r="366" spans="1:251" s="7" customFormat="1">
      <c r="A366" s="1"/>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row>
    <row r="367" spans="1:251" s="7" customFormat="1">
      <c r="A367" s="1"/>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row>
    <row r="368" spans="1:251" s="7" customFormat="1">
      <c r="A368" s="1"/>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row>
    <row r="369" spans="1:251" s="7" customFormat="1">
      <c r="A369" s="1"/>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row>
    <row r="370" spans="1:251" s="7" customFormat="1">
      <c r="A370" s="1"/>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row>
    <row r="371" spans="1:251" s="7" customFormat="1">
      <c r="A371" s="1"/>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row>
    <row r="372" spans="1:251" s="7" customFormat="1">
      <c r="A372" s="1"/>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row>
    <row r="373" spans="1:251" s="7" customFormat="1">
      <c r="A373" s="1"/>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row>
    <row r="374" spans="1:251" s="7" customFormat="1">
      <c r="A374" s="1"/>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row>
    <row r="375" spans="1:251" s="7" customFormat="1">
      <c r="A375" s="1"/>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row>
    <row r="376" spans="1:251" s="7" customFormat="1">
      <c r="A376" s="1"/>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row>
    <row r="377" spans="1:251" s="7" customFormat="1">
      <c r="A377" s="1"/>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row>
    <row r="378" spans="1:251" s="7" customFormat="1">
      <c r="A378" s="1"/>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row>
    <row r="379" spans="1:251" s="7" customFormat="1">
      <c r="A379" s="1"/>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row>
    <row r="380" spans="1:251" s="7" customFormat="1">
      <c r="A380" s="1"/>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row>
    <row r="381" spans="1:251" s="7" customFormat="1">
      <c r="A381" s="1"/>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row>
    <row r="382" spans="1:251" s="7" customFormat="1">
      <c r="A382" s="1"/>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row>
    <row r="383" spans="1:251" s="7" customFormat="1">
      <c r="A383" s="1"/>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row>
    <row r="384" spans="1:251" s="7" customFormat="1">
      <c r="A384" s="1"/>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row>
    <row r="385" spans="1:251" s="7" customFormat="1">
      <c r="A385" s="1"/>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row>
    <row r="386" spans="1:251" s="7" customFormat="1">
      <c r="A386" s="1"/>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row>
    <row r="387" spans="1:251" s="7" customFormat="1">
      <c r="A387" s="1"/>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row>
    <row r="388" spans="1:251" s="7" customFormat="1">
      <c r="A388" s="1"/>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row>
    <row r="389" spans="1:251" s="7" customFormat="1">
      <c r="A389" s="1"/>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row>
    <row r="390" spans="1:251" s="7" customFormat="1">
      <c r="A390" s="1"/>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row>
    <row r="391" spans="1:251" s="7" customFormat="1">
      <c r="A391" s="1"/>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row>
    <row r="392" spans="1:251" s="7" customFormat="1">
      <c r="A392" s="1"/>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row>
    <row r="393" spans="1:251" s="7" customFormat="1">
      <c r="A393" s="1"/>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row>
    <row r="394" spans="1:251" s="7" customFormat="1">
      <c r="A394" s="1"/>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row>
    <row r="395" spans="1:251" s="7" customFormat="1">
      <c r="A395" s="1"/>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row>
    <row r="396" spans="1:251" s="7" customFormat="1">
      <c r="A396" s="1"/>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row>
    <row r="397" spans="1:251" s="7" customFormat="1">
      <c r="A397" s="1"/>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row>
    <row r="398" spans="1:251" s="7" customFormat="1">
      <c r="A398" s="1"/>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row>
    <row r="399" spans="1:251" s="7" customFormat="1">
      <c r="A399" s="1"/>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row>
    <row r="400" spans="1:251" s="7" customFormat="1">
      <c r="A400" s="1"/>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row>
    <row r="401" spans="1:251" s="7" customFormat="1">
      <c r="A401" s="1"/>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row>
    <row r="402" spans="1:251" s="7" customFormat="1">
      <c r="A402" s="1"/>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row>
    <row r="403" spans="1:251" s="7" customFormat="1">
      <c r="A403" s="1"/>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row>
    <row r="404" spans="1:251" s="7" customFormat="1">
      <c r="A404" s="1"/>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row>
    <row r="405" spans="1:251" s="7" customFormat="1">
      <c r="A405" s="1"/>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row>
    <row r="406" spans="1:251" s="7" customFormat="1">
      <c r="A406" s="1"/>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row>
    <row r="407" spans="1:251" s="7" customFormat="1">
      <c r="A407" s="1"/>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row>
    <row r="408" spans="1:251" s="7" customFormat="1">
      <c r="A408" s="1"/>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row>
    <row r="409" spans="1:251" s="7" customFormat="1">
      <c r="A409" s="1"/>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row>
    <row r="410" spans="1:251" s="7" customFormat="1">
      <c r="A410" s="1"/>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row>
    <row r="411" spans="1:251" s="7" customFormat="1">
      <c r="A411" s="1"/>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row>
    <row r="412" spans="1:251" s="7" customFormat="1">
      <c r="A412" s="1"/>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row>
    <row r="413" spans="1:251" s="7" customFormat="1">
      <c r="A413" s="1"/>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row>
    <row r="414" spans="1:251" s="7" customFormat="1">
      <c r="A414" s="1"/>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row>
    <row r="415" spans="1:251" s="7" customFormat="1">
      <c r="A415" s="1"/>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row>
    <row r="416" spans="1:251" s="7" customFormat="1">
      <c r="A416" s="1"/>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row>
    <row r="417" spans="1:251" s="7" customFormat="1">
      <c r="A417" s="1"/>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row>
    <row r="418" spans="1:251" s="7" customFormat="1">
      <c r="A418" s="1"/>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row>
    <row r="419" spans="1:251" s="7" customFormat="1">
      <c r="A419" s="1"/>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row>
    <row r="420" spans="1:251" s="7" customFormat="1">
      <c r="A420" s="1"/>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row>
    <row r="421" spans="1:251" s="7" customFormat="1">
      <c r="A421" s="1"/>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row>
    <row r="422" spans="1:251" s="7" customFormat="1">
      <c r="A422" s="1"/>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row>
    <row r="423" spans="1:251" s="7" customFormat="1">
      <c r="A423" s="1"/>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row>
    <row r="424" spans="1:251" s="7" customFormat="1">
      <c r="A424" s="1"/>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row>
    <row r="425" spans="1:251" s="7" customFormat="1">
      <c r="A425" s="1"/>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row>
    <row r="426" spans="1:251" s="7" customFormat="1">
      <c r="A426" s="1"/>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row>
    <row r="427" spans="1:251" s="7" customFormat="1">
      <c r="A427" s="1"/>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row>
    <row r="428" spans="1:251" s="7" customFormat="1">
      <c r="A428" s="1"/>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row>
    <row r="429" spans="1:251" s="7" customFormat="1">
      <c r="A429" s="1"/>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row>
    <row r="430" spans="1:251" s="7" customFormat="1">
      <c r="A430" s="1"/>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row>
    <row r="431" spans="1:251" s="7" customFormat="1">
      <c r="A431" s="1"/>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row>
    <row r="432" spans="1:251" s="7" customFormat="1">
      <c r="A432" s="1"/>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row>
    <row r="433" spans="1:251" s="7" customFormat="1">
      <c r="A433" s="1"/>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row>
    <row r="434" spans="1:251" s="7" customFormat="1">
      <c r="A434" s="1"/>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row>
    <row r="435" spans="1:251" s="7" customFormat="1">
      <c r="A435" s="1"/>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row>
    <row r="436" spans="1:251" s="7" customFormat="1">
      <c r="A436" s="1"/>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row>
    <row r="437" spans="1:251" s="7" customFormat="1">
      <c r="A437" s="1"/>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row>
    <row r="438" spans="1:251" s="7" customFormat="1">
      <c r="A438" s="1"/>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row>
    <row r="439" spans="1:251" s="7" customFormat="1">
      <c r="A439" s="1"/>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row>
    <row r="440" spans="1:251" s="7" customFormat="1">
      <c r="A440" s="1"/>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row>
    <row r="441" spans="1:251" s="7" customFormat="1">
      <c r="A441" s="1"/>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row>
    <row r="442" spans="1:251" s="7" customFormat="1">
      <c r="A442" s="1"/>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row>
    <row r="443" spans="1:251" s="7" customFormat="1">
      <c r="A443" s="1"/>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row>
    <row r="444" spans="1:251" s="7" customFormat="1">
      <c r="A444" s="1"/>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row>
    <row r="445" spans="1:251" s="7" customFormat="1">
      <c r="A445" s="1"/>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row>
    <row r="446" spans="1:251" s="7" customFormat="1">
      <c r="A446" s="1"/>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row>
    <row r="447" spans="1:251" s="7" customFormat="1">
      <c r="A447" s="1"/>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row>
    <row r="448" spans="1:251" s="7" customFormat="1">
      <c r="A448" s="1"/>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row>
    <row r="449" spans="1:251" s="7" customFormat="1">
      <c r="A449" s="1"/>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row>
    <row r="450" spans="1:251" s="7" customFormat="1">
      <c r="A450" s="1"/>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row>
    <row r="451" spans="1:251" s="7" customFormat="1">
      <c r="A451" s="1"/>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row>
    <row r="452" spans="1:251" s="7" customFormat="1">
      <c r="A452" s="1"/>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row>
    <row r="453" spans="1:251" s="7" customFormat="1">
      <c r="A453" s="1"/>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row>
    <row r="454" spans="1:251" s="7" customFormat="1">
      <c r="A454" s="1"/>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row>
    <row r="455" spans="1:251" s="7" customFormat="1">
      <c r="A455" s="1"/>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row>
    <row r="456" spans="1:251" s="7" customFormat="1">
      <c r="A456" s="1"/>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row>
    <row r="457" spans="1:251" s="7" customFormat="1">
      <c r="A457" s="1"/>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row>
    <row r="458" spans="1:251" s="7" customFormat="1">
      <c r="A458" s="1"/>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row>
    <row r="459" spans="1:251" s="7" customFormat="1">
      <c r="A459" s="1"/>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row>
    <row r="460" spans="1:251" s="7" customFormat="1">
      <c r="A460" s="1"/>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row>
    <row r="461" spans="1:251" s="7" customFormat="1">
      <c r="A461" s="1"/>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row>
    <row r="462" spans="1:251" s="7" customFormat="1">
      <c r="A462" s="1"/>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row>
    <row r="463" spans="1:251" s="7" customFormat="1">
      <c r="A463" s="1"/>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row>
    <row r="464" spans="1:251" s="7" customFormat="1">
      <c r="A464" s="1"/>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row>
    <row r="465" spans="1:251" s="7" customFormat="1">
      <c r="A465" s="1"/>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row>
    <row r="466" spans="1:251" s="7" customFormat="1">
      <c r="A466" s="1"/>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row>
    <row r="467" spans="1:251" s="7" customFormat="1">
      <c r="A467" s="1"/>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row>
    <row r="468" spans="1:251" s="7" customFormat="1">
      <c r="A468" s="1"/>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row>
  </sheetData>
  <sheetProtection selectLockedCells="1"/>
  <protectedRanges>
    <protectedRange sqref="D4:G6 D11:G13" name="Bereich1"/>
  </protectedRanges>
  <dataConsolidate/>
  <mergeCells count="124">
    <mergeCell ref="D17:G17"/>
    <mergeCell ref="D68:E68"/>
    <mergeCell ref="F68:G68"/>
    <mergeCell ref="D69:E69"/>
    <mergeCell ref="F69:G69"/>
    <mergeCell ref="B70:G70"/>
    <mergeCell ref="B72:G72"/>
    <mergeCell ref="HD66:HK66"/>
    <mergeCell ref="HL66:HS66"/>
    <mergeCell ref="AB66:AI66"/>
    <mergeCell ref="AJ66:AQ66"/>
    <mergeCell ref="AR66:AY66"/>
    <mergeCell ref="AZ66:BG66"/>
    <mergeCell ref="BH66:BO66"/>
    <mergeCell ref="D62:E62"/>
    <mergeCell ref="F62:G62"/>
    <mergeCell ref="B63:G63"/>
    <mergeCell ref="B64:G64"/>
    <mergeCell ref="B65:G65"/>
    <mergeCell ref="D66:E66"/>
    <mergeCell ref="F66:G66"/>
    <mergeCell ref="D59:E59"/>
    <mergeCell ref="F59:G59"/>
    <mergeCell ref="D60:E60"/>
    <mergeCell ref="HT66:IA66"/>
    <mergeCell ref="IB66:II66"/>
    <mergeCell ref="IJ66:IQ66"/>
    <mergeCell ref="D67:E67"/>
    <mergeCell ref="F67:G67"/>
    <mergeCell ref="FH66:FO66"/>
    <mergeCell ref="FP66:FW66"/>
    <mergeCell ref="FX66:GE66"/>
    <mergeCell ref="GF66:GM66"/>
    <mergeCell ref="GN66:GU66"/>
    <mergeCell ref="GV66:HC66"/>
    <mergeCell ref="DL66:DS66"/>
    <mergeCell ref="DT66:EA66"/>
    <mergeCell ref="EB66:EI66"/>
    <mergeCell ref="EJ66:EQ66"/>
    <mergeCell ref="ER66:EY66"/>
    <mergeCell ref="EZ66:FG66"/>
    <mergeCell ref="BP66:BW66"/>
    <mergeCell ref="BX66:CE66"/>
    <mergeCell ref="CF66:CM66"/>
    <mergeCell ref="CN66:CU66"/>
    <mergeCell ref="CV66:DC66"/>
    <mergeCell ref="DD66:DK66"/>
    <mergeCell ref="T66:AA66"/>
    <mergeCell ref="F60:G60"/>
    <mergeCell ref="D61:E61"/>
    <mergeCell ref="F61:G61"/>
    <mergeCell ref="B54:C54"/>
    <mergeCell ref="D54:G54"/>
    <mergeCell ref="D55:G55"/>
    <mergeCell ref="E56:G56"/>
    <mergeCell ref="E57:F57"/>
    <mergeCell ref="B58:G58"/>
    <mergeCell ref="D45:E45"/>
    <mergeCell ref="F45:G45"/>
    <mergeCell ref="D46:E46"/>
    <mergeCell ref="F46:G46"/>
    <mergeCell ref="D47:E47"/>
    <mergeCell ref="B53:G53"/>
    <mergeCell ref="D42:E42"/>
    <mergeCell ref="F42:G42"/>
    <mergeCell ref="D43:E43"/>
    <mergeCell ref="F43:G43"/>
    <mergeCell ref="D44:E44"/>
    <mergeCell ref="F44:G44"/>
    <mergeCell ref="D39:E39"/>
    <mergeCell ref="F39:G39"/>
    <mergeCell ref="D40:E40"/>
    <mergeCell ref="F40:G40"/>
    <mergeCell ref="D41:E41"/>
    <mergeCell ref="F41:G41"/>
    <mergeCell ref="Q36:R36"/>
    <mergeCell ref="S36:T36"/>
    <mergeCell ref="D37:E37"/>
    <mergeCell ref="F37:G37"/>
    <mergeCell ref="D38:E38"/>
    <mergeCell ref="F38:G38"/>
    <mergeCell ref="D35:E35"/>
    <mergeCell ref="F35:G35"/>
    <mergeCell ref="D36:E36"/>
    <mergeCell ref="F36:G36"/>
    <mergeCell ref="M36:N36"/>
    <mergeCell ref="O36:P36"/>
    <mergeCell ref="D30:G30"/>
    <mergeCell ref="D31:G31"/>
    <mergeCell ref="D33:E33"/>
    <mergeCell ref="F33:G33"/>
    <mergeCell ref="D34:E34"/>
    <mergeCell ref="F34:G34"/>
    <mergeCell ref="D24:G24"/>
    <mergeCell ref="D25:G25"/>
    <mergeCell ref="D26:G26"/>
    <mergeCell ref="D27:G27"/>
    <mergeCell ref="D28:G28"/>
    <mergeCell ref="D29:G29"/>
    <mergeCell ref="B18:G18"/>
    <mergeCell ref="D19:G19"/>
    <mergeCell ref="D20:G20"/>
    <mergeCell ref="D21:G21"/>
    <mergeCell ref="D22:G22"/>
    <mergeCell ref="D23:G23"/>
    <mergeCell ref="I14:J14"/>
    <mergeCell ref="D15:G15"/>
    <mergeCell ref="D16:E16"/>
    <mergeCell ref="F16:G16"/>
    <mergeCell ref="D7:G7"/>
    <mergeCell ref="D8:G8"/>
    <mergeCell ref="H8:I8"/>
    <mergeCell ref="B9:G9"/>
    <mergeCell ref="B10:G10"/>
    <mergeCell ref="D11:G11"/>
    <mergeCell ref="B1:C1"/>
    <mergeCell ref="D1:G2"/>
    <mergeCell ref="B3:G3"/>
    <mergeCell ref="D4:G4"/>
    <mergeCell ref="D5:G5"/>
    <mergeCell ref="D6:G6"/>
    <mergeCell ref="D12:G12"/>
    <mergeCell ref="D13:G13"/>
    <mergeCell ref="D14:G14"/>
  </mergeCells>
  <dataValidations count="4">
    <dataValidation type="whole" operator="lessThanOrEqual" allowBlank="1" showInputMessage="1" showErrorMessage="1" errorTitle="Error" error="Sometimes it would be great, but a day only has 24 hours..." sqref="D6:G6">
      <formula1>24</formula1>
    </dataValidation>
    <dataValidation type="list" allowBlank="1" showInputMessage="1" showErrorMessage="1" sqref="D13:G13">
      <formula1>$B$75:$B$126</formula1>
    </dataValidation>
    <dataValidation type="list" allowBlank="1" showInputMessage="1" showErrorMessage="1" errorTitle="Error" error="EFOY Pro Fuel Cells can only charge 12 V, 24 V or 48 V DC batteries." sqref="D5:G5">
      <formula1>$J$5:$J$7</formula1>
    </dataValidation>
    <dataValidation type="list" errorStyle="warning" allowBlank="1" showErrorMessage="1" errorTitle="WARNING" error="Inclination only between 0 ° and 90 °" promptTitle="WARNING" prompt="Inclination only between 0 ° and 90 °" sqref="D17:G17">
      <formula1>$J$15:$J$18</formula1>
    </dataValidation>
  </dataValidations>
  <pageMargins left="0.6692913385826772" right="0.31496062992125984" top="0.27559055118110237" bottom="0.39370078740157483" header="0.51181102362204722" footer="0.43307086614173229"/>
  <pageSetup paperSize="9" scale="69" orientation="portrait" r:id="rId1"/>
  <headerFooter alignWithMargins="0">
    <oddFooter>&amp;L&amp;"DIN-Regular,Standard"&amp;D&amp;C&amp;"DIN-Regular,Standard"SFC Energy AG&amp;R&amp;"DIN-Regular,Standard"page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sheetPr codeName="Tabelle2"/>
  <dimension ref="A1"/>
  <sheetViews>
    <sheetView workbookViewId="0">
      <selection activeCell="D4" sqref="D4:G4"/>
    </sheetView>
  </sheetViews>
  <sheetFormatPr baseColWidth="10" defaultRowHeight="12.75"/>
  <sheetData/>
  <customSheetViews>
    <customSheetView guid="{3936283E-F619-4C76-81B5-94C71CE639B2}">
      <pageMargins left="0.7" right="0.7" top="0.78740157499999996" bottom="0.78740157499999996" header="0.3" footer="0.3"/>
    </customSheetView>
    <customSheetView guid="{DFB92200-E2B8-4842-BABB-C8A43D4346B5}">
      <pageMargins left="0.7" right="0.7" top="0.78740157499999996" bottom="0.78740157499999996" header="0.3" footer="0.3"/>
    </customSheetView>
  </customSheetView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D4" sqref="D4:G4"/>
    </sheetView>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EFOY Pro + Solar Calculator</vt:lpstr>
      <vt:lpstr>EFOY Pro + Solar Calculator RU</vt:lpstr>
      <vt:lpstr>Tabelle1</vt:lpstr>
      <vt:lpstr>Tabelle2</vt:lpstr>
      <vt:lpstr>'EFOY Pro + Solar Calculator'!Druckbereich</vt:lpstr>
      <vt:lpstr>'EFOY Pro + Solar Calculator RU'!Druckbereich</vt:lpstr>
    </vt:vector>
  </TitlesOfParts>
  <Company>SFC Smart Fuel Cell AG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Laistner Stephan</dc:creator>
  <cp:lastModifiedBy>laistners</cp:lastModifiedBy>
  <cp:lastPrinted>2016-11-04T07:14:47Z</cp:lastPrinted>
  <dcterms:created xsi:type="dcterms:W3CDTF">2008-01-22T15:15:10Z</dcterms:created>
  <dcterms:modified xsi:type="dcterms:W3CDTF">2016-11-04T07:15:16Z</dcterms:modified>
</cp:coreProperties>
</file>